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ATA_XFER/www/N0ZYC/power/solar power/my portable solar grid/panels/inventory of 100w panels/"/>
    </mc:Choice>
  </mc:AlternateContent>
  <xr:revisionPtr revIDLastSave="0" documentId="13_ncr:1_{078324DC-749A-2B44-9713-AC196E57C490}" xr6:coauthVersionLast="47" xr6:coauthVersionMax="47" xr10:uidLastSave="{00000000-0000-0000-0000-000000000000}"/>
  <bookViews>
    <workbookView xWindow="0" yWindow="500" windowWidth="40400" windowHeight="20840" xr2:uid="{9627D182-A4BF-4845-AF00-B94A8957DC6D}"/>
  </bookViews>
  <sheets>
    <sheet name="panels" sheetId="1" r:id="rId1"/>
    <sheet name="tests" sheetId="3" r:id="rId2"/>
    <sheet name="Dokio Frames" sheetId="4" r:id="rId3"/>
    <sheet name="Frame Sizing" sheetId="6" r:id="rId4"/>
    <sheet name="Suaoki 60w walle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E11" i="6"/>
  <c r="E9" i="6"/>
  <c r="K6" i="6"/>
  <c r="J6" i="6"/>
  <c r="I6" i="6"/>
  <c r="J4" i="6"/>
  <c r="L4" i="6" s="1"/>
  <c r="K4" i="6"/>
  <c r="M4" i="6" s="1"/>
  <c r="I4" i="6"/>
  <c r="G6" i="6"/>
  <c r="G4" i="6"/>
  <c r="L6" i="6" l="1"/>
  <c r="M6" i="6"/>
  <c r="O62" i="1" l="1"/>
  <c r="Q5" i="1" l="1"/>
  <c r="N5" i="1"/>
  <c r="N62" i="1" l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P7" i="1"/>
  <c r="Q7" i="1" s="1"/>
  <c r="D6" i="5"/>
  <c r="E6" i="5" s="1"/>
  <c r="F6" i="5" s="1"/>
  <c r="G6" i="5"/>
  <c r="J6" i="5"/>
  <c r="D7" i="5"/>
  <c r="E7" i="5"/>
  <c r="F7" i="5"/>
  <c r="G7" i="5"/>
  <c r="D8" i="5"/>
  <c r="E8" i="5" s="1"/>
  <c r="F8" i="5" s="1"/>
  <c r="G8" i="5"/>
  <c r="F21" i="5" s="1"/>
  <c r="C10" i="5"/>
  <c r="C11" i="5"/>
  <c r="D17" i="5"/>
  <c r="D18" i="5"/>
  <c r="C19" i="5"/>
  <c r="D19" i="5" s="1"/>
  <c r="C20" i="5"/>
  <c r="D20" i="5"/>
  <c r="C21" i="5"/>
  <c r="D21" i="5"/>
  <c r="C27" i="5"/>
  <c r="C28" i="5"/>
  <c r="C30" i="5"/>
  <c r="C31" i="5"/>
  <c r="D5" i="4"/>
  <c r="D6" i="4"/>
  <c r="D7" i="4"/>
  <c r="D8" i="4"/>
  <c r="D9" i="4"/>
  <c r="D10" i="4"/>
  <c r="D11" i="4"/>
  <c r="D13" i="4"/>
  <c r="D19" i="4"/>
  <c r="D28" i="4" s="1"/>
  <c r="D20" i="4"/>
  <c r="D21" i="4"/>
  <c r="D22" i="4"/>
  <c r="D23" i="4"/>
  <c r="D24" i="4"/>
  <c r="D25" i="4"/>
  <c r="D26" i="4"/>
  <c r="F22" i="5" l="1"/>
  <c r="F23" i="5"/>
  <c r="I4" i="3"/>
  <c r="M4" i="3"/>
  <c r="O4" i="3"/>
  <c r="P4" i="3" s="1"/>
  <c r="Q4" i="3"/>
  <c r="S4" i="3"/>
  <c r="T4" i="3" s="1"/>
  <c r="X4" i="3"/>
  <c r="Y4" i="3"/>
  <c r="AC4" i="3"/>
  <c r="M6" i="3"/>
  <c r="O6" i="3"/>
  <c r="P6" i="3"/>
  <c r="Q6" i="3"/>
  <c r="S6" i="3"/>
  <c r="T6" i="3"/>
  <c r="X6" i="3"/>
  <c r="Y6" i="3" s="1"/>
  <c r="I8" i="3"/>
  <c r="M8" i="3"/>
  <c r="O8" i="3"/>
  <c r="P8" i="3"/>
  <c r="Q8" i="3"/>
  <c r="S8" i="3"/>
  <c r="T8" i="3"/>
  <c r="X8" i="3"/>
  <c r="Y8" i="3"/>
  <c r="I9" i="3"/>
  <c r="M9" i="3"/>
  <c r="O9" i="3"/>
  <c r="P9" i="3" s="1"/>
  <c r="Q9" i="3"/>
  <c r="S9" i="3" s="1"/>
  <c r="T9" i="3" s="1"/>
  <c r="X9" i="3"/>
  <c r="Y9" i="3"/>
  <c r="H11" i="3"/>
  <c r="I11" i="3"/>
  <c r="M11" i="3"/>
  <c r="O11" i="3"/>
  <c r="P11" i="3"/>
  <c r="Q11" i="3"/>
  <c r="S11" i="3"/>
  <c r="T11" i="3"/>
  <c r="X11" i="3"/>
  <c r="Y11" i="3"/>
  <c r="P62" i="1" l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6" i="1"/>
  <c r="Q6" i="1" s="1"/>
  <c r="P8" i="1"/>
  <c r="Q8" i="1" s="1"/>
  <c r="P42" i="1"/>
  <c r="Q42" i="1" s="1"/>
  <c r="S38" i="1" l="1"/>
  <c r="S37" i="1"/>
  <c r="S36" i="1"/>
  <c r="S35" i="1"/>
  <c r="S34" i="1"/>
  <c r="S33" i="1"/>
  <c r="S32" i="1"/>
  <c r="S31" i="1"/>
  <c r="S16" i="1"/>
  <c r="S15" i="1"/>
  <c r="S14" i="1"/>
  <c r="S13" i="1"/>
  <c r="S12" i="1"/>
  <c r="S11" i="1"/>
  <c r="S10" i="1"/>
  <c r="S9" i="1"/>
  <c r="S29" i="1"/>
  <c r="S28" i="1"/>
  <c r="S27" i="1"/>
  <c r="S26" i="1"/>
  <c r="S25" i="1"/>
  <c r="S24" i="1"/>
  <c r="S23" i="1"/>
  <c r="S22" i="1"/>
  <c r="S51" i="1"/>
  <c r="S50" i="1"/>
  <c r="S49" i="1"/>
  <c r="S48" i="1"/>
  <c r="S47" i="1"/>
  <c r="S46" i="1"/>
  <c r="S45" i="1"/>
  <c r="S44" i="1"/>
</calcChain>
</file>

<file path=xl/sharedStrings.xml><?xml version="1.0" encoding="utf-8"?>
<sst xmlns="http://schemas.openxmlformats.org/spreadsheetml/2006/main" count="781" uniqueCount="259">
  <si>
    <t>DSP2461305303915</t>
  </si>
  <si>
    <t>DSP2462007181586</t>
  </si>
  <si>
    <t>DSP2462007180848</t>
  </si>
  <si>
    <t>DSP2462007181514</t>
  </si>
  <si>
    <t>DSP2462007180850</t>
  </si>
  <si>
    <t>DSP2462007181438</t>
  </si>
  <si>
    <t>DSP2462007181194</t>
  </si>
  <si>
    <t>DSP2462007181192</t>
  </si>
  <si>
    <t>Purchase</t>
  </si>
  <si>
    <t>Date</t>
  </si>
  <si>
    <t>Serial</t>
  </si>
  <si>
    <t>Number</t>
  </si>
  <si>
    <t>Brand</t>
  </si>
  <si>
    <t>Model</t>
  </si>
  <si>
    <t>Cost</t>
  </si>
  <si>
    <t>Shipped</t>
  </si>
  <si>
    <t>Amazon</t>
  </si>
  <si>
    <t>Dokio</t>
  </si>
  <si>
    <t>DFSP-100M</t>
  </si>
  <si>
    <t>Cells</t>
  </si>
  <si>
    <t>3 x 11</t>
  </si>
  <si>
    <t>Eco-Worthy</t>
  </si>
  <si>
    <t>ECOM100W</t>
  </si>
  <si>
    <t>Spencer</t>
  </si>
  <si>
    <t>Windy Nation</t>
  </si>
  <si>
    <t>Notes</t>
  </si>
  <si>
    <t>gift (used)</t>
  </si>
  <si>
    <t>4 x 9</t>
  </si>
  <si>
    <t>eBay</t>
  </si>
  <si>
    <t>Ali Express</t>
  </si>
  <si>
    <t>included 100w PWM charger</t>
  </si>
  <si>
    <t>4 x 8</t>
  </si>
  <si>
    <t>Elfeland</t>
  </si>
  <si>
    <t>only 8 rows wired, departed Escape, destroyed</t>
  </si>
  <si>
    <t>Renogy</t>
  </si>
  <si>
    <t>textured surface, currently mounted on Escape</t>
  </si>
  <si>
    <t>ID</t>
  </si>
  <si>
    <t>DSP961306250521</t>
  </si>
  <si>
    <t>DSP961306250533</t>
  </si>
  <si>
    <t>DSP961306250432</t>
  </si>
  <si>
    <t>DSP961306250603</t>
  </si>
  <si>
    <t>D</t>
  </si>
  <si>
    <t>C</t>
  </si>
  <si>
    <t>B</t>
  </si>
  <si>
    <t>A</t>
  </si>
  <si>
    <t>DSP960602190358</t>
  </si>
  <si>
    <t>DSP961306250493</t>
  </si>
  <si>
    <t>DSP960602190384</t>
  </si>
  <si>
    <t>DSP960602190383</t>
  </si>
  <si>
    <t>E</t>
  </si>
  <si>
    <t>F</t>
  </si>
  <si>
    <t>G</t>
  </si>
  <si>
    <t>H</t>
  </si>
  <si>
    <t>DSP062311250732</t>
  </si>
  <si>
    <t>SMS199920201147110240466</t>
  </si>
  <si>
    <t>DSP162211021941</t>
  </si>
  <si>
    <t>DSP162211022117</t>
  </si>
  <si>
    <t>DSP162211022142</t>
  </si>
  <si>
    <t>DSP162211022140</t>
  </si>
  <si>
    <t>DSP162211022102</t>
  </si>
  <si>
    <t>DSP162211022134</t>
  </si>
  <si>
    <t>DSP162211022110</t>
  </si>
  <si>
    <t>DSP112312160208</t>
  </si>
  <si>
    <t>I</t>
  </si>
  <si>
    <t>J</t>
  </si>
  <si>
    <t>K</t>
  </si>
  <si>
    <t>L</t>
  </si>
  <si>
    <t>M</t>
  </si>
  <si>
    <t>N</t>
  </si>
  <si>
    <t>O</t>
  </si>
  <si>
    <t>P</t>
  </si>
  <si>
    <t>DSP161306010477</t>
  </si>
  <si>
    <t>4 X 9</t>
  </si>
  <si>
    <t>Q</t>
  </si>
  <si>
    <t>R</t>
  </si>
  <si>
    <t>S</t>
  </si>
  <si>
    <t>T</t>
  </si>
  <si>
    <t>U</t>
  </si>
  <si>
    <t>V</t>
  </si>
  <si>
    <t>W</t>
  </si>
  <si>
    <t>X</t>
  </si>
  <si>
    <t>Z</t>
  </si>
  <si>
    <t>SOL-100P-01</t>
  </si>
  <si>
    <t>3 x 10</t>
  </si>
  <si>
    <t>Store</t>
  </si>
  <si>
    <t>RNG-100DB-H</t>
  </si>
  <si>
    <t>Cell Layout</t>
  </si>
  <si>
    <t>Rows/Cols</t>
  </si>
  <si>
    <t>Count</t>
  </si>
  <si>
    <t>Panel Size</t>
  </si>
  <si>
    <t>mm (w/h)</t>
  </si>
  <si>
    <t>32</t>
  </si>
  <si>
    <t>36</t>
  </si>
  <si>
    <t>30</t>
  </si>
  <si>
    <t>33</t>
  </si>
  <si>
    <t>160</t>
  </si>
  <si>
    <t>155</t>
  </si>
  <si>
    <t>166</t>
  </si>
  <si>
    <t>142</t>
  </si>
  <si>
    <t>1219 x 546</t>
  </si>
  <si>
    <t>895 x 585</t>
  </si>
  <si>
    <t>1180 x 540</t>
  </si>
  <si>
    <t>1015 x 670</t>
  </si>
  <si>
    <t>970 x 565</t>
  </si>
  <si>
    <t>1175 x 540</t>
  </si>
  <si>
    <t>Wuzeck</t>
  </si>
  <si>
    <t>unmarked</t>
  </si>
  <si>
    <t>Tag</t>
  </si>
  <si>
    <t>Cells Area</t>
  </si>
  <si>
    <t>Cell Area</t>
  </si>
  <si>
    <t>watts</t>
  </si>
  <si>
    <t>100</t>
  </si>
  <si>
    <t>130</t>
  </si>
  <si>
    <t>Rating</t>
  </si>
  <si>
    <t>EcoWorthy</t>
  </si>
  <si>
    <t>new dokio</t>
  </si>
  <si>
    <t>new dokio est</t>
  </si>
  <si>
    <t>old dokio</t>
  </si>
  <si>
    <t>WindyNation</t>
  </si>
  <si>
    <t>powper</t>
  </si>
  <si>
    <t>volts</t>
  </si>
  <si>
    <t>area (m2)</t>
  </si>
  <si>
    <t>area (cm2)</t>
  </si>
  <si>
    <t>height (mm)</t>
  </si>
  <si>
    <t>width (mm)</t>
  </si>
  <si>
    <t>efficiency</t>
  </si>
  <si>
    <t>cells</t>
  </si>
  <si>
    <t>rows</t>
  </si>
  <si>
    <t>cols</t>
  </si>
  <si>
    <t>corners (mm2)</t>
  </si>
  <si>
    <t>power (w)</t>
  </si>
  <si>
    <t>Dec 1 test</t>
  </si>
  <si>
    <t>panel</t>
  </si>
  <si>
    <t>IA high sun</t>
  </si>
  <si>
    <t>18% output</t>
  </si>
  <si>
    <t>claimed</t>
  </si>
  <si>
    <t>cell</t>
  </si>
  <si>
    <t>rated</t>
  </si>
  <si>
    <t>1000pcs wire ties</t>
  </si>
  <si>
    <t>50pcs #10 stainless locking nuts</t>
  </si>
  <si>
    <t>25pcs #10-24 1" stainless bolts</t>
  </si>
  <si>
    <t>25pcs #10-24 1.25" stainless bolts</t>
  </si>
  <si>
    <t>8ft 5/8" aluminum C channel</t>
  </si>
  <si>
    <t>8ft 1/2" aluminum C channel</t>
  </si>
  <si>
    <t>8ft 3/8" aluminum C channel</t>
  </si>
  <si>
    <t>4pcs Dokio 100w flexible panels</t>
  </si>
  <si>
    <t>total cost</t>
  </si>
  <si>
    <t>m5x16 stainless screws</t>
  </si>
  <si>
    <t>100pcs m5 sliding T nuts</t>
  </si>
  <si>
    <t>10pcs straight line connector</t>
  </si>
  <si>
    <t>10pcs corner brace</t>
  </si>
  <si>
    <t>10pcs aluminum T-slot</t>
  </si>
  <si>
    <t>fuse</t>
  </si>
  <si>
    <t>($420 from Renogy)</t>
  </si>
  <si>
    <t>panels (Amazon)</t>
  </si>
  <si>
    <t>total</t>
  </si>
  <si>
    <t>each</t>
  </si>
  <si>
    <t>pcs</t>
  </si>
  <si>
    <t>exp cm2/watt</t>
  </si>
  <si>
    <t>rated cm2/watt</t>
  </si>
  <si>
    <t>exp watts/cell</t>
  </si>
  <si>
    <t>rated watts/cell</t>
  </si>
  <si>
    <t>60.4w is shockingly close to the claimed 60w</t>
  </si>
  <si>
    <t>exp watts</t>
  </si>
  <si>
    <t>rated watts</t>
  </si>
  <si>
    <t>suaoki expected watts</t>
  </si>
  <si>
    <t>suaoki rated watts</t>
  </si>
  <si>
    <t>dokio cells in suaoki 60w</t>
  </si>
  <si>
    <t>net cell area</t>
  </si>
  <si>
    <t>dog area</t>
  </si>
  <si>
    <t>cell area</t>
  </si>
  <si>
    <t>cell dogear w/h</t>
  </si>
  <si>
    <t>cell w/h</t>
  </si>
  <si>
    <t>cm</t>
  </si>
  <si>
    <t>in</t>
  </si>
  <si>
    <t>36 cell dokio panels:</t>
  </si>
  <si>
    <t>exp watts/panel</t>
  </si>
  <si>
    <t>rated watts/panel</t>
  </si>
  <si>
    <t>panels</t>
  </si>
  <si>
    <t>cells/panel</t>
  </si>
  <si>
    <t>exp watts:</t>
  </si>
  <si>
    <t>cell height</t>
  </si>
  <si>
    <t>rated watts:</t>
  </si>
  <si>
    <t>cell width</t>
  </si>
  <si>
    <t>sq cm</t>
  </si>
  <si>
    <t>sq ft</t>
  </si>
  <si>
    <t>sq m</t>
  </si>
  <si>
    <t>sq mm</t>
  </si>
  <si>
    <t>mm</t>
  </si>
  <si>
    <t>Suaoki 60W wallet</t>
  </si>
  <si>
    <t>Aysolar</t>
  </si>
  <si>
    <t>970 x 530</t>
  </si>
  <si>
    <t>framed</t>
  </si>
  <si>
    <t>departed Escape then Explorer, destroyed</t>
  </si>
  <si>
    <t>130W 18V SunPower</t>
  </si>
  <si>
    <t>1050 x 540</t>
  </si>
  <si>
    <t>Panel</t>
  </si>
  <si>
    <t>Volts</t>
  </si>
  <si>
    <t>Seller</t>
  </si>
  <si>
    <t>local</t>
  </si>
  <si>
    <t>201010012</t>
  </si>
  <si>
    <t>mhestore2009</t>
  </si>
  <si>
    <t>bgmotor2010</t>
  </si>
  <si>
    <t>2100240820248519</t>
  </si>
  <si>
    <t>2100240820231219</t>
  </si>
  <si>
    <t>2100240820232119</t>
  </si>
  <si>
    <t>2100240820978219</t>
  </si>
  <si>
    <t>2100240820469619</t>
  </si>
  <si>
    <t>2100240820978419</t>
  </si>
  <si>
    <t>2100240820982919</t>
  </si>
  <si>
    <t>2100240820233819</t>
  </si>
  <si>
    <t>flex 2LB</t>
  </si>
  <si>
    <t>flex 4LB</t>
  </si>
  <si>
    <t>flex 3LB</t>
  </si>
  <si>
    <t>Design</t>
  </si>
  <si>
    <t>Efficiency</t>
  </si>
  <si>
    <t>pct</t>
  </si>
  <si>
    <t>Dongguan</t>
  </si>
  <si>
    <t>RGN33-100A</t>
  </si>
  <si>
    <t>RGS-202408252429</t>
  </si>
  <si>
    <t>cm2</t>
  </si>
  <si>
    <t>for Explorer</t>
  </si>
  <si>
    <t>expected newer 3x11, got older 4x9, spare</t>
  </si>
  <si>
    <t>1000w renogy rigid portable array from YouTube (not mine)</t>
  </si>
  <si>
    <t>my 400w (300w actual) solar frames:</t>
  </si>
  <si>
    <t>DFSP-100M (2024)</t>
  </si>
  <si>
    <t>DFSP-100M (2020)</t>
  </si>
  <si>
    <t>1180</t>
  </si>
  <si>
    <t>970</t>
  </si>
  <si>
    <t>model</t>
  </si>
  <si>
    <t>width</t>
  </si>
  <si>
    <t>height</t>
  </si>
  <si>
    <t>4x height</t>
  </si>
  <si>
    <t>frame w</t>
  </si>
  <si>
    <t>frame h top</t>
  </si>
  <si>
    <t>top - panels</t>
  </si>
  <si>
    <t>frame h full</t>
  </si>
  <si>
    <t>full - panels</t>
  </si>
  <si>
    <t>9 x 4</t>
  </si>
  <si>
    <t>10 x 3</t>
  </si>
  <si>
    <t>inch gap on left and right side of 2024 panels</t>
  </si>
  <si>
    <t>expected mm available gap on single frames</t>
  </si>
  <si>
    <t>mm gap on left and right side of 2020 panels  (negative??)</t>
  </si>
  <si>
    <t>A1</t>
  </si>
  <si>
    <t>A2</t>
  </si>
  <si>
    <t>A3</t>
  </si>
  <si>
    <t>A4</t>
  </si>
  <si>
    <t>A5</t>
  </si>
  <si>
    <t>A6</t>
  </si>
  <si>
    <t>A7</t>
  </si>
  <si>
    <t>A8</t>
  </si>
  <si>
    <t>inches</t>
  </si>
  <si>
    <t>6</t>
  </si>
  <si>
    <t>17</t>
  </si>
  <si>
    <t>24</t>
  </si>
  <si>
    <t>Feeds</t>
  </si>
  <si>
    <t>Pigs</t>
  </si>
  <si>
    <t>1175 x 535</t>
  </si>
  <si>
    <t>PV-XC502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</si>
</sst>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m/d/yyyy;@"/>
    <numFmt numFmtId="166" formatCode="0.0000"/>
    <numFmt numFmtId="167" formatCode="&quot;$&quot;#,##0"/>
    <numFmt numFmtId="168" formatCode="0.0"/>
    <numFmt numFmtId="169" formatCode="mm/dd/yy;@"/>
  </numFmts>
  <fonts count="6" x14ac:knownFonts="1">
    <font>
      <sz val="16"/>
      <color theme="1"/>
      <name val="Calibri"/>
      <family val="2"/>
      <scheme val="minor"/>
    </font>
    <font>
      <sz val="16"/>
      <color theme="1"/>
      <name val="Monaco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0" applyNumberFormat="1"/>
    <xf numFmtId="0" fontId="5" fillId="0" borderId="0" xfId="1"/>
    <xf numFmtId="164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3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9" fontId="0" fillId="2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0" fillId="9" borderId="0" xfId="0" applyNumberFormat="1" applyFill="1" applyAlignment="1">
      <alignment horizontal="center"/>
    </xf>
    <xf numFmtId="0" fontId="0" fillId="0" borderId="0" xfId="0" applyAlignment="1">
      <alignment horizontal="left"/>
    </xf>
    <xf numFmtId="49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p/B0BG85QHN9?th=1" TargetMode="External"/><Relationship Id="rId2" Type="http://schemas.openxmlformats.org/officeDocument/2006/relationships/hyperlink" Target="https://www.amazon.com/dp/B09H5LHW78" TargetMode="External"/><Relationship Id="rId1" Type="http://schemas.openxmlformats.org/officeDocument/2006/relationships/hyperlink" Target="https://www.amazon.com/dp/B084Z1KVKG" TargetMode="External"/><Relationship Id="rId5" Type="http://schemas.openxmlformats.org/officeDocument/2006/relationships/hyperlink" Target="https://www.amazon.com/dp/B0CQJJ7M8J" TargetMode="External"/><Relationship Id="rId4" Type="http://schemas.openxmlformats.org/officeDocument/2006/relationships/hyperlink" Target="https://www.amazon.com/dp/B00916K7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EBE9-FDD6-974E-95CF-9C628682B214}">
  <dimension ref="A2:V62"/>
  <sheetViews>
    <sheetView tabSelected="1" workbookViewId="0">
      <pane ySplit="4" topLeftCell="A5" activePane="bottomLeft" state="frozen"/>
      <selection pane="bottomLeft" activeCell="G7" sqref="G7"/>
    </sheetView>
  </sheetViews>
  <sheetFormatPr baseColWidth="10" defaultRowHeight="21" x14ac:dyDescent="0.25"/>
  <cols>
    <col min="1" max="1" width="2.625" customWidth="1"/>
    <col min="2" max="2" width="9.625" style="49" customWidth="1"/>
    <col min="3" max="3" width="10.625" style="9"/>
    <col min="4" max="4" width="13" style="9" customWidth="1"/>
    <col min="5" max="5" width="5.5" style="6" customWidth="1"/>
    <col min="6" max="6" width="12.625" style="9" customWidth="1"/>
    <col min="7" max="7" width="21" style="7" customWidth="1"/>
    <col min="8" max="8" width="9.5" style="20" customWidth="1"/>
    <col min="9" max="9" width="14.375" style="7" customWidth="1"/>
    <col min="10" max="11" width="7.5" style="7" customWidth="1"/>
    <col min="12" max="12" width="10.625" style="7"/>
    <col min="13" max="13" width="7.375" style="20" customWidth="1"/>
    <col min="14" max="14" width="6.875" style="7" customWidth="1"/>
    <col min="15" max="15" width="9.25" style="20" customWidth="1"/>
    <col min="16" max="17" width="9.625" style="20" customWidth="1"/>
    <col min="18" max="18" width="9" style="7" customWidth="1"/>
    <col min="19" max="19" width="9.625" style="8" customWidth="1"/>
    <col min="20" max="20" width="27.25" style="9" customWidth="1"/>
    <col min="21" max="21" width="40.625" customWidth="1"/>
    <col min="22" max="22" width="1.625" customWidth="1"/>
  </cols>
  <sheetData>
    <row r="2" spans="1:22" x14ac:dyDescent="0.25">
      <c r="B2" s="47" t="s">
        <v>8</v>
      </c>
      <c r="C2" s="3" t="s">
        <v>84</v>
      </c>
      <c r="D2" s="3" t="s">
        <v>198</v>
      </c>
      <c r="E2" s="2" t="s">
        <v>107</v>
      </c>
      <c r="F2" s="3" t="s">
        <v>12</v>
      </c>
      <c r="G2" s="4" t="s">
        <v>13</v>
      </c>
      <c r="H2" s="18" t="s">
        <v>113</v>
      </c>
      <c r="I2" s="4" t="s">
        <v>89</v>
      </c>
      <c r="J2" s="4" t="s">
        <v>255</v>
      </c>
      <c r="K2" s="4" t="s">
        <v>256</v>
      </c>
      <c r="L2" s="4" t="s">
        <v>86</v>
      </c>
      <c r="M2" s="18" t="s">
        <v>19</v>
      </c>
      <c r="N2" s="4" t="s">
        <v>196</v>
      </c>
      <c r="O2" s="18" t="s">
        <v>109</v>
      </c>
      <c r="P2" s="18" t="s">
        <v>108</v>
      </c>
      <c r="Q2" s="18" t="s">
        <v>215</v>
      </c>
      <c r="R2" s="4" t="s">
        <v>214</v>
      </c>
      <c r="S2" s="5" t="s">
        <v>14</v>
      </c>
      <c r="T2" s="3" t="s">
        <v>10</v>
      </c>
      <c r="U2" s="1" t="s">
        <v>25</v>
      </c>
    </row>
    <row r="3" spans="1:22" ht="21" customHeight="1" x14ac:dyDescent="0.25">
      <c r="B3" s="47" t="s">
        <v>9</v>
      </c>
      <c r="C3" s="3"/>
      <c r="D3" s="3"/>
      <c r="E3" s="2" t="s">
        <v>36</v>
      </c>
      <c r="F3" s="3"/>
      <c r="G3" s="4"/>
      <c r="H3" s="18" t="s">
        <v>110</v>
      </c>
      <c r="I3" s="4" t="s">
        <v>90</v>
      </c>
      <c r="J3" s="4" t="s">
        <v>251</v>
      </c>
      <c r="K3" s="4" t="s">
        <v>251</v>
      </c>
      <c r="L3" s="4" t="s">
        <v>87</v>
      </c>
      <c r="M3" s="18" t="s">
        <v>88</v>
      </c>
      <c r="N3" s="4" t="s">
        <v>197</v>
      </c>
      <c r="O3" s="18" t="s">
        <v>220</v>
      </c>
      <c r="P3" s="18" t="s">
        <v>220</v>
      </c>
      <c r="Q3" s="18" t="s">
        <v>216</v>
      </c>
      <c r="R3" s="4"/>
      <c r="S3" s="5" t="s">
        <v>15</v>
      </c>
      <c r="T3" s="3" t="s">
        <v>11</v>
      </c>
    </row>
    <row r="4" spans="1:22" ht="5" customHeight="1" x14ac:dyDescent="0.25">
      <c r="A4" s="13"/>
      <c r="B4" s="48"/>
      <c r="C4" s="15"/>
      <c r="D4" s="15"/>
      <c r="E4" s="14"/>
      <c r="F4" s="15"/>
      <c r="G4" s="16"/>
      <c r="H4" s="19"/>
      <c r="I4" s="16"/>
      <c r="J4" s="16"/>
      <c r="K4" s="16"/>
      <c r="L4" s="16"/>
      <c r="M4" s="19"/>
      <c r="N4" s="16"/>
      <c r="O4" s="19"/>
      <c r="P4" s="19"/>
      <c r="Q4" s="19"/>
      <c r="R4" s="16"/>
      <c r="S4" s="17"/>
      <c r="T4" s="15"/>
      <c r="U4" s="13"/>
      <c r="V4" s="13"/>
    </row>
    <row r="5" spans="1:22" x14ac:dyDescent="0.25">
      <c r="B5" s="49">
        <v>42770</v>
      </c>
      <c r="C5" s="9" t="s">
        <v>28</v>
      </c>
      <c r="D5" s="59" t="s">
        <v>201</v>
      </c>
      <c r="F5" s="9" t="s">
        <v>32</v>
      </c>
      <c r="G5" s="7" t="s">
        <v>194</v>
      </c>
      <c r="H5" s="20" t="s">
        <v>112</v>
      </c>
      <c r="I5" s="7" t="s">
        <v>101</v>
      </c>
      <c r="L5" s="7" t="s">
        <v>27</v>
      </c>
      <c r="M5" s="20" t="s">
        <v>92</v>
      </c>
      <c r="N5" s="43">
        <f>IF(M5="","",M5/2)</f>
        <v>18</v>
      </c>
      <c r="O5" s="46" t="s">
        <v>96</v>
      </c>
      <c r="P5" s="46">
        <v>4960</v>
      </c>
      <c r="Q5" s="50">
        <f>IF(OR(H5="",P5=""),"",H5/(P5/10000*1000))</f>
        <v>0.26209677419354838</v>
      </c>
      <c r="R5" s="7" t="s">
        <v>211</v>
      </c>
      <c r="S5" s="8">
        <v>158.99</v>
      </c>
      <c r="T5" s="7" t="s">
        <v>106</v>
      </c>
      <c r="U5" t="s">
        <v>33</v>
      </c>
    </row>
    <row r="6" spans="1:22" x14ac:dyDescent="0.25">
      <c r="N6" s="43" t="str">
        <f t="shared" ref="N6:N62" si="0">IF(M6="","",M6/2)</f>
        <v/>
      </c>
      <c r="P6" s="20" t="str">
        <f t="shared" ref="P6:P42" si="1">IF(OR(M6="",O6=""),"",M6*O6)</f>
        <v/>
      </c>
      <c r="Q6" s="50" t="str">
        <f t="shared" ref="Q6:Q62" si="2">IF(OR(H6="",P6=""),"",H6/(P6/10000*1000))</f>
        <v/>
      </c>
    </row>
    <row r="7" spans="1:22" x14ac:dyDescent="0.25">
      <c r="B7" s="49">
        <v>43288</v>
      </c>
      <c r="C7" s="9" t="s">
        <v>28</v>
      </c>
      <c r="D7" s="59" t="s">
        <v>202</v>
      </c>
      <c r="F7" s="9" t="s">
        <v>32</v>
      </c>
      <c r="G7" s="7" t="s">
        <v>258</v>
      </c>
      <c r="H7" s="20" t="s">
        <v>111</v>
      </c>
      <c r="I7" s="7" t="s">
        <v>195</v>
      </c>
      <c r="L7" s="7" t="s">
        <v>31</v>
      </c>
      <c r="M7" s="20" t="s">
        <v>91</v>
      </c>
      <c r="N7" s="43">
        <f t="shared" si="0"/>
        <v>16</v>
      </c>
      <c r="O7" s="46" t="s">
        <v>96</v>
      </c>
      <c r="P7" s="20">
        <f t="shared" si="1"/>
        <v>4960</v>
      </c>
      <c r="Q7" s="50">
        <f t="shared" si="2"/>
        <v>0.20161290322580644</v>
      </c>
      <c r="R7" s="7" t="s">
        <v>211</v>
      </c>
      <c r="S7" s="8">
        <v>138.88999999999999</v>
      </c>
      <c r="T7" s="7" t="s">
        <v>106</v>
      </c>
      <c r="U7" t="s">
        <v>193</v>
      </c>
    </row>
    <row r="8" spans="1:22" x14ac:dyDescent="0.25">
      <c r="N8" s="43" t="str">
        <f t="shared" si="0"/>
        <v/>
      </c>
      <c r="P8" s="20" t="str">
        <f t="shared" si="1"/>
        <v/>
      </c>
      <c r="Q8" s="50" t="str">
        <f t="shared" si="2"/>
        <v/>
      </c>
    </row>
    <row r="9" spans="1:22" x14ac:dyDescent="0.25">
      <c r="B9" s="49">
        <v>44010</v>
      </c>
      <c r="C9" s="9" t="s">
        <v>16</v>
      </c>
      <c r="D9" s="9" t="s">
        <v>17</v>
      </c>
      <c r="E9" s="6" t="s">
        <v>44</v>
      </c>
      <c r="F9" s="9" t="s">
        <v>17</v>
      </c>
      <c r="G9" s="7" t="s">
        <v>226</v>
      </c>
      <c r="H9" s="20" t="s">
        <v>111</v>
      </c>
      <c r="I9" s="7" t="s">
        <v>101</v>
      </c>
      <c r="J9" s="58" t="s">
        <v>254</v>
      </c>
      <c r="K9" s="58" t="s">
        <v>252</v>
      </c>
      <c r="L9" s="7" t="s">
        <v>27</v>
      </c>
      <c r="M9" s="20" t="s">
        <v>92</v>
      </c>
      <c r="N9" s="43">
        <f t="shared" si="0"/>
        <v>18</v>
      </c>
      <c r="O9" s="20">
        <v>155</v>
      </c>
      <c r="P9" s="20">
        <f t="shared" si="1"/>
        <v>5580</v>
      </c>
      <c r="Q9" s="50">
        <f t="shared" si="2"/>
        <v>0.17921146953405018</v>
      </c>
      <c r="R9" s="7" t="s">
        <v>211</v>
      </c>
      <c r="S9" s="8">
        <f>307.77 /4</f>
        <v>76.942499999999995</v>
      </c>
      <c r="T9" s="12" t="s">
        <v>37</v>
      </c>
    </row>
    <row r="10" spans="1:22" x14ac:dyDescent="0.25">
      <c r="B10" s="49">
        <v>44010</v>
      </c>
      <c r="C10" s="9" t="s">
        <v>16</v>
      </c>
      <c r="D10" s="9" t="s">
        <v>17</v>
      </c>
      <c r="E10" s="6" t="s">
        <v>43</v>
      </c>
      <c r="F10" s="9" t="s">
        <v>17</v>
      </c>
      <c r="G10" s="7" t="s">
        <v>226</v>
      </c>
      <c r="H10" s="20" t="s">
        <v>111</v>
      </c>
      <c r="I10" s="7" t="s">
        <v>101</v>
      </c>
      <c r="J10" s="58" t="s">
        <v>254</v>
      </c>
      <c r="K10" s="58" t="s">
        <v>252</v>
      </c>
      <c r="L10" s="7" t="s">
        <v>27</v>
      </c>
      <c r="M10" s="20" t="s">
        <v>92</v>
      </c>
      <c r="N10" s="43">
        <f t="shared" si="0"/>
        <v>18</v>
      </c>
      <c r="O10" s="20" t="s">
        <v>96</v>
      </c>
      <c r="P10" s="20">
        <f t="shared" si="1"/>
        <v>5580</v>
      </c>
      <c r="Q10" s="50">
        <f t="shared" si="2"/>
        <v>0.17921146953405018</v>
      </c>
      <c r="R10" s="7" t="s">
        <v>211</v>
      </c>
      <c r="S10" s="8">
        <f t="shared" ref="S10:S12" si="3">307.77 /4</f>
        <v>76.942499999999995</v>
      </c>
      <c r="T10" s="12" t="s">
        <v>38</v>
      </c>
    </row>
    <row r="11" spans="1:22" x14ac:dyDescent="0.25">
      <c r="B11" s="49">
        <v>44010</v>
      </c>
      <c r="C11" s="9" t="s">
        <v>16</v>
      </c>
      <c r="D11" s="9" t="s">
        <v>17</v>
      </c>
      <c r="E11" s="6" t="s">
        <v>42</v>
      </c>
      <c r="F11" s="9" t="s">
        <v>17</v>
      </c>
      <c r="G11" s="7" t="s">
        <v>226</v>
      </c>
      <c r="H11" s="20" t="s">
        <v>111</v>
      </c>
      <c r="I11" s="7" t="s">
        <v>101</v>
      </c>
      <c r="J11" s="58" t="s">
        <v>254</v>
      </c>
      <c r="K11" s="58" t="s">
        <v>252</v>
      </c>
      <c r="L11" s="7" t="s">
        <v>27</v>
      </c>
      <c r="M11" s="20" t="s">
        <v>92</v>
      </c>
      <c r="N11" s="43">
        <f t="shared" si="0"/>
        <v>18</v>
      </c>
      <c r="O11" s="20" t="s">
        <v>96</v>
      </c>
      <c r="P11" s="20">
        <f t="shared" si="1"/>
        <v>5580</v>
      </c>
      <c r="Q11" s="50">
        <f t="shared" si="2"/>
        <v>0.17921146953405018</v>
      </c>
      <c r="R11" s="7" t="s">
        <v>211</v>
      </c>
      <c r="S11" s="8">
        <f t="shared" si="3"/>
        <v>76.942499999999995</v>
      </c>
      <c r="T11" s="12" t="s">
        <v>39</v>
      </c>
    </row>
    <row r="12" spans="1:22" x14ac:dyDescent="0.25">
      <c r="B12" s="49">
        <v>44010</v>
      </c>
      <c r="C12" s="9" t="s">
        <v>16</v>
      </c>
      <c r="D12" s="9" t="s">
        <v>17</v>
      </c>
      <c r="E12" s="6" t="s">
        <v>41</v>
      </c>
      <c r="F12" s="9" t="s">
        <v>17</v>
      </c>
      <c r="G12" s="7" t="s">
        <v>226</v>
      </c>
      <c r="H12" s="20" t="s">
        <v>111</v>
      </c>
      <c r="I12" s="7" t="s">
        <v>101</v>
      </c>
      <c r="J12" s="58" t="s">
        <v>254</v>
      </c>
      <c r="K12" s="58" t="s">
        <v>252</v>
      </c>
      <c r="L12" s="7" t="s">
        <v>27</v>
      </c>
      <c r="M12" s="20" t="s">
        <v>92</v>
      </c>
      <c r="N12" s="43">
        <f t="shared" si="0"/>
        <v>18</v>
      </c>
      <c r="O12" s="20" t="s">
        <v>96</v>
      </c>
      <c r="P12" s="20">
        <f t="shared" si="1"/>
        <v>5580</v>
      </c>
      <c r="Q12" s="50">
        <f t="shared" si="2"/>
        <v>0.17921146953405018</v>
      </c>
      <c r="R12" s="7" t="s">
        <v>211</v>
      </c>
      <c r="S12" s="8">
        <f t="shared" si="3"/>
        <v>76.942499999999995</v>
      </c>
      <c r="T12" s="12" t="s">
        <v>40</v>
      </c>
    </row>
    <row r="13" spans="1:22" x14ac:dyDescent="0.25">
      <c r="B13" s="49">
        <v>44018</v>
      </c>
      <c r="C13" s="9" t="s">
        <v>16</v>
      </c>
      <c r="D13" s="9" t="s">
        <v>17</v>
      </c>
      <c r="E13" s="6" t="s">
        <v>49</v>
      </c>
      <c r="F13" s="9" t="s">
        <v>17</v>
      </c>
      <c r="G13" s="7" t="s">
        <v>226</v>
      </c>
      <c r="H13" s="20" t="s">
        <v>111</v>
      </c>
      <c r="I13" s="7" t="s">
        <v>101</v>
      </c>
      <c r="J13" s="58" t="s">
        <v>254</v>
      </c>
      <c r="K13" s="58" t="s">
        <v>252</v>
      </c>
      <c r="L13" s="7" t="s">
        <v>27</v>
      </c>
      <c r="M13" s="20" t="s">
        <v>92</v>
      </c>
      <c r="N13" s="43">
        <f t="shared" si="0"/>
        <v>18</v>
      </c>
      <c r="O13" s="20" t="s">
        <v>96</v>
      </c>
      <c r="P13" s="20">
        <f t="shared" si="1"/>
        <v>5580</v>
      </c>
      <c r="Q13" s="50">
        <f t="shared" si="2"/>
        <v>0.17921146953405018</v>
      </c>
      <c r="R13" s="7" t="s">
        <v>211</v>
      </c>
      <c r="S13" s="8">
        <f>347.77/4</f>
        <v>86.942499999999995</v>
      </c>
      <c r="T13" s="9" t="s">
        <v>45</v>
      </c>
    </row>
    <row r="14" spans="1:22" x14ac:dyDescent="0.25">
      <c r="B14" s="49">
        <v>44018</v>
      </c>
      <c r="C14" s="9" t="s">
        <v>16</v>
      </c>
      <c r="D14" s="9" t="s">
        <v>17</v>
      </c>
      <c r="E14" s="6" t="s">
        <v>50</v>
      </c>
      <c r="F14" s="9" t="s">
        <v>17</v>
      </c>
      <c r="G14" s="7" t="s">
        <v>226</v>
      </c>
      <c r="H14" s="20" t="s">
        <v>111</v>
      </c>
      <c r="I14" s="7" t="s">
        <v>101</v>
      </c>
      <c r="J14" s="58" t="s">
        <v>254</v>
      </c>
      <c r="K14" s="58" t="s">
        <v>252</v>
      </c>
      <c r="L14" s="7" t="s">
        <v>27</v>
      </c>
      <c r="M14" s="20" t="s">
        <v>92</v>
      </c>
      <c r="N14" s="43">
        <f t="shared" si="0"/>
        <v>18</v>
      </c>
      <c r="O14" s="20" t="s">
        <v>96</v>
      </c>
      <c r="P14" s="20">
        <f t="shared" si="1"/>
        <v>5580</v>
      </c>
      <c r="Q14" s="50">
        <f t="shared" si="2"/>
        <v>0.17921146953405018</v>
      </c>
      <c r="R14" s="7" t="s">
        <v>211</v>
      </c>
      <c r="S14" s="8">
        <f t="shared" ref="S14:S16" si="4">347.77/4</f>
        <v>86.942499999999995</v>
      </c>
      <c r="T14" s="9" t="s">
        <v>46</v>
      </c>
    </row>
    <row r="15" spans="1:22" x14ac:dyDescent="0.25">
      <c r="B15" s="49">
        <v>44018</v>
      </c>
      <c r="C15" s="9" t="s">
        <v>16</v>
      </c>
      <c r="D15" s="9" t="s">
        <v>17</v>
      </c>
      <c r="E15" s="6" t="s">
        <v>51</v>
      </c>
      <c r="F15" s="9" t="s">
        <v>17</v>
      </c>
      <c r="G15" s="7" t="s">
        <v>226</v>
      </c>
      <c r="H15" s="20" t="s">
        <v>111</v>
      </c>
      <c r="I15" s="7" t="s">
        <v>101</v>
      </c>
      <c r="J15" s="58" t="s">
        <v>254</v>
      </c>
      <c r="K15" s="58" t="s">
        <v>252</v>
      </c>
      <c r="L15" s="7" t="s">
        <v>27</v>
      </c>
      <c r="M15" s="20" t="s">
        <v>92</v>
      </c>
      <c r="N15" s="43">
        <f t="shared" si="0"/>
        <v>18</v>
      </c>
      <c r="O15" s="20" t="s">
        <v>96</v>
      </c>
      <c r="P15" s="20">
        <f t="shared" si="1"/>
        <v>5580</v>
      </c>
      <c r="Q15" s="50">
        <f t="shared" si="2"/>
        <v>0.17921146953405018</v>
      </c>
      <c r="R15" s="7" t="s">
        <v>211</v>
      </c>
      <c r="S15" s="8">
        <f t="shared" si="4"/>
        <v>86.942499999999995</v>
      </c>
      <c r="T15" s="9" t="s">
        <v>47</v>
      </c>
    </row>
    <row r="16" spans="1:22" x14ac:dyDescent="0.25">
      <c r="B16" s="49">
        <v>44018</v>
      </c>
      <c r="C16" s="9" t="s">
        <v>16</v>
      </c>
      <c r="D16" s="9" t="s">
        <v>17</v>
      </c>
      <c r="E16" s="6" t="s">
        <v>52</v>
      </c>
      <c r="F16" s="9" t="s">
        <v>17</v>
      </c>
      <c r="G16" s="7" t="s">
        <v>226</v>
      </c>
      <c r="H16" s="20" t="s">
        <v>111</v>
      </c>
      <c r="I16" s="7" t="s">
        <v>101</v>
      </c>
      <c r="J16" s="58" t="s">
        <v>254</v>
      </c>
      <c r="K16" s="58" t="s">
        <v>252</v>
      </c>
      <c r="L16" s="7" t="s">
        <v>27</v>
      </c>
      <c r="M16" s="20" t="s">
        <v>92</v>
      </c>
      <c r="N16" s="43">
        <f t="shared" si="0"/>
        <v>18</v>
      </c>
      <c r="O16" s="20" t="s">
        <v>96</v>
      </c>
      <c r="P16" s="20">
        <f t="shared" si="1"/>
        <v>5580</v>
      </c>
      <c r="Q16" s="50">
        <f t="shared" si="2"/>
        <v>0.17921146953405018</v>
      </c>
      <c r="R16" s="7" t="s">
        <v>211</v>
      </c>
      <c r="S16" s="8">
        <f t="shared" si="4"/>
        <v>86.942499999999995</v>
      </c>
      <c r="T16" s="9" t="s">
        <v>48</v>
      </c>
    </row>
    <row r="17" spans="2:21" x14ac:dyDescent="0.25">
      <c r="N17" s="43" t="str">
        <f t="shared" si="0"/>
        <v/>
      </c>
      <c r="P17" s="20" t="str">
        <f t="shared" si="1"/>
        <v/>
      </c>
      <c r="Q17" s="50" t="str">
        <f t="shared" si="2"/>
        <v/>
      </c>
    </row>
    <row r="18" spans="2:21" x14ac:dyDescent="0.25">
      <c r="B18" s="49">
        <v>44401</v>
      </c>
      <c r="C18" s="9" t="s">
        <v>16</v>
      </c>
      <c r="D18" s="9" t="s">
        <v>17</v>
      </c>
      <c r="F18" s="9" t="s">
        <v>17</v>
      </c>
      <c r="G18" s="7" t="s">
        <v>18</v>
      </c>
      <c r="H18" s="20" t="s">
        <v>111</v>
      </c>
      <c r="I18" s="7" t="s">
        <v>257</v>
      </c>
      <c r="L18" s="7" t="s">
        <v>27</v>
      </c>
      <c r="M18" s="20" t="s">
        <v>92</v>
      </c>
      <c r="N18" s="43">
        <f t="shared" si="0"/>
        <v>18</v>
      </c>
      <c r="O18" s="20" t="s">
        <v>96</v>
      </c>
      <c r="P18" s="20">
        <f t="shared" si="1"/>
        <v>5580</v>
      </c>
      <c r="Q18" s="50">
        <f t="shared" si="2"/>
        <v>0.17921146953405018</v>
      </c>
      <c r="R18" s="7" t="s">
        <v>192</v>
      </c>
      <c r="S18" s="8">
        <v>90.94</v>
      </c>
      <c r="T18" s="9" t="s">
        <v>53</v>
      </c>
    </row>
    <row r="19" spans="2:21" x14ac:dyDescent="0.25">
      <c r="N19" s="43" t="str">
        <f t="shared" si="0"/>
        <v/>
      </c>
      <c r="P19" s="20" t="str">
        <f t="shared" si="1"/>
        <v/>
      </c>
      <c r="Q19" s="50" t="str">
        <f t="shared" si="2"/>
        <v/>
      </c>
    </row>
    <row r="20" spans="2:21" x14ac:dyDescent="0.25">
      <c r="B20" s="49">
        <v>44462</v>
      </c>
      <c r="C20" s="9" t="s">
        <v>16</v>
      </c>
      <c r="D20" s="9" t="s">
        <v>34</v>
      </c>
      <c r="F20" s="9" t="s">
        <v>34</v>
      </c>
      <c r="G20" s="7" t="s">
        <v>85</v>
      </c>
      <c r="H20" s="20" t="s">
        <v>111</v>
      </c>
      <c r="I20" s="7" t="s">
        <v>99</v>
      </c>
      <c r="L20" s="7" t="s">
        <v>27</v>
      </c>
      <c r="M20" s="20" t="s">
        <v>92</v>
      </c>
      <c r="N20" s="43">
        <f t="shared" si="0"/>
        <v>18</v>
      </c>
      <c r="O20" s="46" t="s">
        <v>96</v>
      </c>
      <c r="P20" s="20">
        <f t="shared" si="1"/>
        <v>5580</v>
      </c>
      <c r="Q20" s="50">
        <f t="shared" si="2"/>
        <v>0.17921146953405018</v>
      </c>
      <c r="R20" s="11" t="s">
        <v>213</v>
      </c>
      <c r="S20" s="8">
        <v>121.66</v>
      </c>
      <c r="T20" s="9" t="s">
        <v>54</v>
      </c>
      <c r="U20" t="s">
        <v>35</v>
      </c>
    </row>
    <row r="21" spans="2:21" x14ac:dyDescent="0.25">
      <c r="N21" s="43" t="str">
        <f t="shared" si="0"/>
        <v/>
      </c>
      <c r="P21" s="20" t="str">
        <f t="shared" si="1"/>
        <v/>
      </c>
      <c r="Q21" s="50" t="str">
        <f t="shared" si="2"/>
        <v/>
      </c>
    </row>
    <row r="22" spans="2:21" x14ac:dyDescent="0.25">
      <c r="B22" s="49">
        <v>44761</v>
      </c>
      <c r="C22" s="9" t="s">
        <v>29</v>
      </c>
      <c r="D22" s="9" t="s">
        <v>17</v>
      </c>
      <c r="E22" s="6" t="s">
        <v>63</v>
      </c>
      <c r="F22" s="9" t="s">
        <v>17</v>
      </c>
      <c r="G22" s="7" t="s">
        <v>226</v>
      </c>
      <c r="H22" s="20" t="s">
        <v>111</v>
      </c>
      <c r="I22" s="7" t="s">
        <v>101</v>
      </c>
      <c r="J22" s="7" t="s">
        <v>254</v>
      </c>
      <c r="K22" s="7" t="s">
        <v>253</v>
      </c>
      <c r="L22" s="7" t="s">
        <v>27</v>
      </c>
      <c r="M22" s="20" t="s">
        <v>92</v>
      </c>
      <c r="N22" s="43">
        <f t="shared" si="0"/>
        <v>18</v>
      </c>
      <c r="O22" s="20" t="s">
        <v>96</v>
      </c>
      <c r="P22" s="20">
        <f t="shared" si="1"/>
        <v>5580</v>
      </c>
      <c r="Q22" s="50">
        <f t="shared" si="2"/>
        <v>0.17921146953405018</v>
      </c>
      <c r="R22" s="7" t="s">
        <v>211</v>
      </c>
      <c r="S22" s="8">
        <f>535.36/8</f>
        <v>66.92</v>
      </c>
      <c r="T22" s="9" t="s">
        <v>55</v>
      </c>
    </row>
    <row r="23" spans="2:21" x14ac:dyDescent="0.25">
      <c r="B23" s="49">
        <v>44761</v>
      </c>
      <c r="C23" s="9" t="s">
        <v>29</v>
      </c>
      <c r="D23" s="9" t="s">
        <v>17</v>
      </c>
      <c r="E23" s="6" t="s">
        <v>64</v>
      </c>
      <c r="F23" s="9" t="s">
        <v>17</v>
      </c>
      <c r="G23" s="7" t="s">
        <v>226</v>
      </c>
      <c r="H23" s="20" t="s">
        <v>111</v>
      </c>
      <c r="I23" s="7" t="s">
        <v>101</v>
      </c>
      <c r="J23" s="7" t="s">
        <v>254</v>
      </c>
      <c r="K23" s="7" t="s">
        <v>253</v>
      </c>
      <c r="L23" s="7" t="s">
        <v>27</v>
      </c>
      <c r="M23" s="20" t="s">
        <v>92</v>
      </c>
      <c r="N23" s="43">
        <f t="shared" si="0"/>
        <v>18</v>
      </c>
      <c r="O23" s="20" t="s">
        <v>96</v>
      </c>
      <c r="P23" s="20">
        <f t="shared" si="1"/>
        <v>5580</v>
      </c>
      <c r="Q23" s="50">
        <f t="shared" si="2"/>
        <v>0.17921146953405018</v>
      </c>
      <c r="R23" s="7" t="s">
        <v>211</v>
      </c>
      <c r="S23" s="8">
        <f t="shared" ref="S23:S29" si="5">535.36/8</f>
        <v>66.92</v>
      </c>
      <c r="T23" s="9" t="s">
        <v>56</v>
      </c>
    </row>
    <row r="24" spans="2:21" x14ac:dyDescent="0.25">
      <c r="B24" s="49">
        <v>44761</v>
      </c>
      <c r="C24" s="9" t="s">
        <v>29</v>
      </c>
      <c r="D24" s="9" t="s">
        <v>17</v>
      </c>
      <c r="E24" s="6" t="s">
        <v>65</v>
      </c>
      <c r="F24" s="9" t="s">
        <v>17</v>
      </c>
      <c r="G24" s="7" t="s">
        <v>226</v>
      </c>
      <c r="H24" s="20" t="s">
        <v>111</v>
      </c>
      <c r="I24" s="7" t="s">
        <v>101</v>
      </c>
      <c r="J24" s="7" t="s">
        <v>254</v>
      </c>
      <c r="K24" s="7" t="s">
        <v>253</v>
      </c>
      <c r="L24" s="7" t="s">
        <v>27</v>
      </c>
      <c r="M24" s="20" t="s">
        <v>92</v>
      </c>
      <c r="N24" s="43">
        <f t="shared" si="0"/>
        <v>18</v>
      </c>
      <c r="O24" s="20" t="s">
        <v>96</v>
      </c>
      <c r="P24" s="20">
        <f t="shared" si="1"/>
        <v>5580</v>
      </c>
      <c r="Q24" s="50">
        <f t="shared" si="2"/>
        <v>0.17921146953405018</v>
      </c>
      <c r="R24" s="7" t="s">
        <v>211</v>
      </c>
      <c r="S24" s="8">
        <f t="shared" si="5"/>
        <v>66.92</v>
      </c>
      <c r="T24" s="9" t="s">
        <v>57</v>
      </c>
    </row>
    <row r="25" spans="2:21" x14ac:dyDescent="0.25">
      <c r="B25" s="49">
        <v>44761</v>
      </c>
      <c r="C25" s="9" t="s">
        <v>29</v>
      </c>
      <c r="D25" s="9" t="s">
        <v>17</v>
      </c>
      <c r="E25" s="6" t="s">
        <v>66</v>
      </c>
      <c r="F25" s="9" t="s">
        <v>17</v>
      </c>
      <c r="G25" s="7" t="s">
        <v>226</v>
      </c>
      <c r="H25" s="20" t="s">
        <v>111</v>
      </c>
      <c r="I25" s="7" t="s">
        <v>101</v>
      </c>
      <c r="J25" s="7" t="s">
        <v>254</v>
      </c>
      <c r="K25" s="7" t="s">
        <v>253</v>
      </c>
      <c r="L25" s="7" t="s">
        <v>27</v>
      </c>
      <c r="M25" s="20" t="s">
        <v>92</v>
      </c>
      <c r="N25" s="43">
        <f t="shared" si="0"/>
        <v>18</v>
      </c>
      <c r="O25" s="20" t="s">
        <v>96</v>
      </c>
      <c r="P25" s="20">
        <f t="shared" si="1"/>
        <v>5580</v>
      </c>
      <c r="Q25" s="50">
        <f t="shared" si="2"/>
        <v>0.17921146953405018</v>
      </c>
      <c r="R25" s="7" t="s">
        <v>211</v>
      </c>
      <c r="S25" s="8">
        <f t="shared" si="5"/>
        <v>66.92</v>
      </c>
      <c r="T25" s="9" t="s">
        <v>58</v>
      </c>
    </row>
    <row r="26" spans="2:21" x14ac:dyDescent="0.25">
      <c r="B26" s="49">
        <v>44761</v>
      </c>
      <c r="C26" s="9" t="s">
        <v>29</v>
      </c>
      <c r="D26" s="9" t="s">
        <v>17</v>
      </c>
      <c r="E26" s="6" t="s">
        <v>67</v>
      </c>
      <c r="F26" s="9" t="s">
        <v>17</v>
      </c>
      <c r="G26" s="7" t="s">
        <v>226</v>
      </c>
      <c r="H26" s="20" t="s">
        <v>111</v>
      </c>
      <c r="I26" s="7" t="s">
        <v>101</v>
      </c>
      <c r="J26" s="7" t="s">
        <v>254</v>
      </c>
      <c r="K26" s="7" t="s">
        <v>253</v>
      </c>
      <c r="L26" s="7" t="s">
        <v>27</v>
      </c>
      <c r="M26" s="20" t="s">
        <v>92</v>
      </c>
      <c r="N26" s="43">
        <f t="shared" si="0"/>
        <v>18</v>
      </c>
      <c r="O26" s="20" t="s">
        <v>96</v>
      </c>
      <c r="P26" s="20">
        <f t="shared" si="1"/>
        <v>5580</v>
      </c>
      <c r="Q26" s="50">
        <f t="shared" si="2"/>
        <v>0.17921146953405018</v>
      </c>
      <c r="R26" s="7" t="s">
        <v>211</v>
      </c>
      <c r="S26" s="8">
        <f t="shared" si="5"/>
        <v>66.92</v>
      </c>
      <c r="T26" s="9" t="s">
        <v>59</v>
      </c>
    </row>
    <row r="27" spans="2:21" x14ac:dyDescent="0.25">
      <c r="B27" s="49">
        <v>44761</v>
      </c>
      <c r="C27" s="9" t="s">
        <v>29</v>
      </c>
      <c r="D27" s="9" t="s">
        <v>17</v>
      </c>
      <c r="E27" s="6" t="s">
        <v>68</v>
      </c>
      <c r="F27" s="9" t="s">
        <v>17</v>
      </c>
      <c r="G27" s="7" t="s">
        <v>226</v>
      </c>
      <c r="H27" s="20" t="s">
        <v>111</v>
      </c>
      <c r="I27" s="7" t="s">
        <v>101</v>
      </c>
      <c r="J27" s="7" t="s">
        <v>254</v>
      </c>
      <c r="K27" s="7" t="s">
        <v>253</v>
      </c>
      <c r="L27" s="7" t="s">
        <v>27</v>
      </c>
      <c r="M27" s="20" t="s">
        <v>92</v>
      </c>
      <c r="N27" s="43">
        <f t="shared" si="0"/>
        <v>18</v>
      </c>
      <c r="O27" s="20" t="s">
        <v>96</v>
      </c>
      <c r="P27" s="20">
        <f t="shared" si="1"/>
        <v>5580</v>
      </c>
      <c r="Q27" s="50">
        <f t="shared" si="2"/>
        <v>0.17921146953405018</v>
      </c>
      <c r="R27" s="7" t="s">
        <v>211</v>
      </c>
      <c r="S27" s="8">
        <f t="shared" si="5"/>
        <v>66.92</v>
      </c>
      <c r="T27" s="9" t="s">
        <v>60</v>
      </c>
    </row>
    <row r="28" spans="2:21" x14ac:dyDescent="0.25">
      <c r="B28" s="49">
        <v>44761</v>
      </c>
      <c r="C28" s="9" t="s">
        <v>29</v>
      </c>
      <c r="D28" s="9" t="s">
        <v>17</v>
      </c>
      <c r="E28" s="6" t="s">
        <v>69</v>
      </c>
      <c r="F28" s="9" t="s">
        <v>17</v>
      </c>
      <c r="G28" s="7" t="s">
        <v>226</v>
      </c>
      <c r="H28" s="20" t="s">
        <v>111</v>
      </c>
      <c r="I28" s="7" t="s">
        <v>101</v>
      </c>
      <c r="J28" s="7" t="s">
        <v>254</v>
      </c>
      <c r="K28" s="7" t="s">
        <v>253</v>
      </c>
      <c r="L28" s="7" t="s">
        <v>27</v>
      </c>
      <c r="M28" s="20" t="s">
        <v>92</v>
      </c>
      <c r="N28" s="43">
        <f t="shared" si="0"/>
        <v>18</v>
      </c>
      <c r="O28" s="20" t="s">
        <v>96</v>
      </c>
      <c r="P28" s="20">
        <f t="shared" si="1"/>
        <v>5580</v>
      </c>
      <c r="Q28" s="50">
        <f t="shared" si="2"/>
        <v>0.17921146953405018</v>
      </c>
      <c r="R28" s="7" t="s">
        <v>211</v>
      </c>
      <c r="S28" s="8">
        <f t="shared" si="5"/>
        <v>66.92</v>
      </c>
      <c r="T28" s="9" t="s">
        <v>61</v>
      </c>
    </row>
    <row r="29" spans="2:21" x14ac:dyDescent="0.25">
      <c r="B29" s="49">
        <v>44761</v>
      </c>
      <c r="C29" s="9" t="s">
        <v>29</v>
      </c>
      <c r="D29" s="9" t="s">
        <v>17</v>
      </c>
      <c r="E29" s="6" t="s">
        <v>70</v>
      </c>
      <c r="F29" s="9" t="s">
        <v>17</v>
      </c>
      <c r="G29" s="7" t="s">
        <v>226</v>
      </c>
      <c r="H29" s="20" t="s">
        <v>111</v>
      </c>
      <c r="I29" s="7" t="s">
        <v>101</v>
      </c>
      <c r="J29" s="7" t="s">
        <v>254</v>
      </c>
      <c r="K29" s="7" t="s">
        <v>253</v>
      </c>
      <c r="L29" s="7" t="s">
        <v>27</v>
      </c>
      <c r="M29" s="20" t="s">
        <v>92</v>
      </c>
      <c r="N29" s="43">
        <f t="shared" si="0"/>
        <v>18</v>
      </c>
      <c r="O29" s="20" t="s">
        <v>96</v>
      </c>
      <c r="P29" s="20">
        <f t="shared" si="1"/>
        <v>5580</v>
      </c>
      <c r="Q29" s="50">
        <f t="shared" si="2"/>
        <v>0.17921146953405018</v>
      </c>
      <c r="R29" s="7" t="s">
        <v>211</v>
      </c>
      <c r="S29" s="8">
        <f t="shared" si="5"/>
        <v>66.92</v>
      </c>
      <c r="T29" s="9" t="s">
        <v>62</v>
      </c>
    </row>
    <row r="30" spans="2:21" x14ac:dyDescent="0.25">
      <c r="N30" s="43" t="str">
        <f t="shared" si="0"/>
        <v/>
      </c>
      <c r="P30" s="20" t="str">
        <f t="shared" si="1"/>
        <v/>
      </c>
      <c r="Q30" s="50" t="str">
        <f t="shared" si="2"/>
        <v/>
      </c>
    </row>
    <row r="31" spans="2:21" x14ac:dyDescent="0.25">
      <c r="B31" s="49">
        <v>45321</v>
      </c>
      <c r="C31" s="9" t="s">
        <v>28</v>
      </c>
      <c r="D31" s="9" t="s">
        <v>105</v>
      </c>
      <c r="E31" s="6" t="s">
        <v>73</v>
      </c>
      <c r="F31" s="9" t="s">
        <v>105</v>
      </c>
      <c r="G31" s="7" t="s">
        <v>200</v>
      </c>
      <c r="H31" s="20" t="s">
        <v>111</v>
      </c>
      <c r="I31" s="7" t="s">
        <v>104</v>
      </c>
      <c r="J31" s="7" t="s">
        <v>92</v>
      </c>
      <c r="K31" s="7" t="s">
        <v>252</v>
      </c>
      <c r="L31" s="7" t="s">
        <v>72</v>
      </c>
      <c r="M31" s="20" t="s">
        <v>92</v>
      </c>
      <c r="N31" s="43">
        <f t="shared" si="0"/>
        <v>18</v>
      </c>
      <c r="O31" s="20" t="s">
        <v>96</v>
      </c>
      <c r="P31" s="20">
        <f t="shared" si="1"/>
        <v>5580</v>
      </c>
      <c r="Q31" s="50">
        <f t="shared" si="2"/>
        <v>0.17921146953405018</v>
      </c>
      <c r="R31" s="7" t="s">
        <v>212</v>
      </c>
      <c r="S31" s="8">
        <f>428/8</f>
        <v>53.5</v>
      </c>
      <c r="T31" s="7" t="s">
        <v>106</v>
      </c>
      <c r="U31" t="s">
        <v>30</v>
      </c>
    </row>
    <row r="32" spans="2:21" x14ac:dyDescent="0.25">
      <c r="B32" s="49">
        <v>45321</v>
      </c>
      <c r="C32" s="9" t="s">
        <v>28</v>
      </c>
      <c r="D32" s="9" t="s">
        <v>105</v>
      </c>
      <c r="E32" s="6" t="s">
        <v>74</v>
      </c>
      <c r="F32" s="9" t="s">
        <v>105</v>
      </c>
      <c r="G32" s="7" t="s">
        <v>200</v>
      </c>
      <c r="H32" s="20" t="s">
        <v>111</v>
      </c>
      <c r="I32" s="7" t="s">
        <v>104</v>
      </c>
      <c r="J32" s="7" t="s">
        <v>92</v>
      </c>
      <c r="K32" s="7" t="s">
        <v>252</v>
      </c>
      <c r="L32" s="7" t="s">
        <v>72</v>
      </c>
      <c r="M32" s="20" t="s">
        <v>92</v>
      </c>
      <c r="N32" s="43">
        <f t="shared" si="0"/>
        <v>18</v>
      </c>
      <c r="O32" s="20" t="s">
        <v>96</v>
      </c>
      <c r="P32" s="20">
        <f t="shared" si="1"/>
        <v>5580</v>
      </c>
      <c r="Q32" s="50">
        <f t="shared" si="2"/>
        <v>0.17921146953405018</v>
      </c>
      <c r="R32" s="7" t="s">
        <v>212</v>
      </c>
      <c r="S32" s="8">
        <f t="shared" ref="S32:S38" si="6">428/8</f>
        <v>53.5</v>
      </c>
      <c r="T32" s="7" t="s">
        <v>106</v>
      </c>
      <c r="U32" t="s">
        <v>30</v>
      </c>
    </row>
    <row r="33" spans="2:21" x14ac:dyDescent="0.25">
      <c r="B33" s="49">
        <v>45321</v>
      </c>
      <c r="C33" s="9" t="s">
        <v>28</v>
      </c>
      <c r="D33" s="9" t="s">
        <v>105</v>
      </c>
      <c r="E33" s="6" t="s">
        <v>75</v>
      </c>
      <c r="F33" s="9" t="s">
        <v>105</v>
      </c>
      <c r="G33" s="7" t="s">
        <v>200</v>
      </c>
      <c r="H33" s="20" t="s">
        <v>111</v>
      </c>
      <c r="I33" s="7" t="s">
        <v>104</v>
      </c>
      <c r="J33" s="7" t="s">
        <v>92</v>
      </c>
      <c r="K33" s="7" t="s">
        <v>252</v>
      </c>
      <c r="L33" s="7" t="s">
        <v>72</v>
      </c>
      <c r="M33" s="20" t="s">
        <v>92</v>
      </c>
      <c r="N33" s="43">
        <f t="shared" si="0"/>
        <v>18</v>
      </c>
      <c r="O33" s="20" t="s">
        <v>96</v>
      </c>
      <c r="P33" s="20">
        <f t="shared" si="1"/>
        <v>5580</v>
      </c>
      <c r="Q33" s="50">
        <f t="shared" si="2"/>
        <v>0.17921146953405018</v>
      </c>
      <c r="R33" s="7" t="s">
        <v>212</v>
      </c>
      <c r="S33" s="8">
        <f t="shared" si="6"/>
        <v>53.5</v>
      </c>
      <c r="T33" s="7" t="s">
        <v>106</v>
      </c>
      <c r="U33" t="s">
        <v>30</v>
      </c>
    </row>
    <row r="34" spans="2:21" x14ac:dyDescent="0.25">
      <c r="B34" s="49">
        <v>45321</v>
      </c>
      <c r="C34" s="9" t="s">
        <v>28</v>
      </c>
      <c r="D34" s="9" t="s">
        <v>105</v>
      </c>
      <c r="E34" s="6" t="s">
        <v>76</v>
      </c>
      <c r="F34" s="9" t="s">
        <v>105</v>
      </c>
      <c r="G34" s="7" t="s">
        <v>200</v>
      </c>
      <c r="H34" s="20" t="s">
        <v>111</v>
      </c>
      <c r="I34" s="7" t="s">
        <v>104</v>
      </c>
      <c r="J34" s="7" t="s">
        <v>92</v>
      </c>
      <c r="K34" s="7" t="s">
        <v>252</v>
      </c>
      <c r="L34" s="7" t="s">
        <v>72</v>
      </c>
      <c r="M34" s="20" t="s">
        <v>92</v>
      </c>
      <c r="N34" s="43">
        <f t="shared" si="0"/>
        <v>18</v>
      </c>
      <c r="O34" s="20" t="s">
        <v>96</v>
      </c>
      <c r="P34" s="20">
        <f t="shared" si="1"/>
        <v>5580</v>
      </c>
      <c r="Q34" s="50">
        <f t="shared" si="2"/>
        <v>0.17921146953405018</v>
      </c>
      <c r="R34" s="7" t="s">
        <v>212</v>
      </c>
      <c r="S34" s="8">
        <f t="shared" si="6"/>
        <v>53.5</v>
      </c>
      <c r="T34" s="7" t="s">
        <v>106</v>
      </c>
      <c r="U34" t="s">
        <v>30</v>
      </c>
    </row>
    <row r="35" spans="2:21" x14ac:dyDescent="0.25">
      <c r="B35" s="49">
        <v>45321</v>
      </c>
      <c r="C35" s="9" t="s">
        <v>28</v>
      </c>
      <c r="D35" s="9" t="s">
        <v>105</v>
      </c>
      <c r="E35" s="6" t="s">
        <v>77</v>
      </c>
      <c r="F35" s="9" t="s">
        <v>105</v>
      </c>
      <c r="G35" s="7" t="s">
        <v>200</v>
      </c>
      <c r="H35" s="20" t="s">
        <v>111</v>
      </c>
      <c r="I35" s="7" t="s">
        <v>104</v>
      </c>
      <c r="J35" s="7" t="s">
        <v>92</v>
      </c>
      <c r="K35" s="7" t="s">
        <v>252</v>
      </c>
      <c r="L35" s="7" t="s">
        <v>72</v>
      </c>
      <c r="M35" s="20" t="s">
        <v>92</v>
      </c>
      <c r="N35" s="43">
        <f t="shared" si="0"/>
        <v>18</v>
      </c>
      <c r="O35" s="20" t="s">
        <v>96</v>
      </c>
      <c r="P35" s="20">
        <f t="shared" si="1"/>
        <v>5580</v>
      </c>
      <c r="Q35" s="50">
        <f t="shared" si="2"/>
        <v>0.17921146953405018</v>
      </c>
      <c r="R35" s="7" t="s">
        <v>212</v>
      </c>
      <c r="S35" s="8">
        <f t="shared" si="6"/>
        <v>53.5</v>
      </c>
      <c r="T35" s="7" t="s">
        <v>106</v>
      </c>
      <c r="U35" t="s">
        <v>30</v>
      </c>
    </row>
    <row r="36" spans="2:21" x14ac:dyDescent="0.25">
      <c r="B36" s="49">
        <v>45321</v>
      </c>
      <c r="C36" s="9" t="s">
        <v>28</v>
      </c>
      <c r="D36" s="9" t="s">
        <v>105</v>
      </c>
      <c r="E36" s="6" t="s">
        <v>78</v>
      </c>
      <c r="F36" s="9" t="s">
        <v>105</v>
      </c>
      <c r="G36" s="7" t="s">
        <v>200</v>
      </c>
      <c r="H36" s="20" t="s">
        <v>111</v>
      </c>
      <c r="I36" s="7" t="s">
        <v>104</v>
      </c>
      <c r="J36" s="7" t="s">
        <v>92</v>
      </c>
      <c r="K36" s="7" t="s">
        <v>252</v>
      </c>
      <c r="L36" s="7" t="s">
        <v>72</v>
      </c>
      <c r="M36" s="20" t="s">
        <v>92</v>
      </c>
      <c r="N36" s="43">
        <f t="shared" si="0"/>
        <v>18</v>
      </c>
      <c r="O36" s="20" t="s">
        <v>96</v>
      </c>
      <c r="P36" s="20">
        <f t="shared" si="1"/>
        <v>5580</v>
      </c>
      <c r="Q36" s="50">
        <f t="shared" si="2"/>
        <v>0.17921146953405018</v>
      </c>
      <c r="R36" s="7" t="s">
        <v>212</v>
      </c>
      <c r="S36" s="8">
        <f t="shared" si="6"/>
        <v>53.5</v>
      </c>
      <c r="T36" s="7" t="s">
        <v>106</v>
      </c>
      <c r="U36" t="s">
        <v>30</v>
      </c>
    </row>
    <row r="37" spans="2:21" x14ac:dyDescent="0.25">
      <c r="B37" s="49">
        <v>45321</v>
      </c>
      <c r="C37" s="9" t="s">
        <v>28</v>
      </c>
      <c r="D37" s="9" t="s">
        <v>105</v>
      </c>
      <c r="E37" s="6" t="s">
        <v>79</v>
      </c>
      <c r="F37" s="9" t="s">
        <v>105</v>
      </c>
      <c r="G37" s="7" t="s">
        <v>200</v>
      </c>
      <c r="H37" s="20" t="s">
        <v>111</v>
      </c>
      <c r="I37" s="7" t="s">
        <v>104</v>
      </c>
      <c r="J37" s="7" t="s">
        <v>92</v>
      </c>
      <c r="K37" s="7" t="s">
        <v>252</v>
      </c>
      <c r="L37" s="7" t="s">
        <v>72</v>
      </c>
      <c r="M37" s="20" t="s">
        <v>92</v>
      </c>
      <c r="N37" s="43">
        <f t="shared" si="0"/>
        <v>18</v>
      </c>
      <c r="O37" s="20" t="s">
        <v>96</v>
      </c>
      <c r="P37" s="20">
        <f t="shared" si="1"/>
        <v>5580</v>
      </c>
      <c r="Q37" s="50">
        <f t="shared" si="2"/>
        <v>0.17921146953405018</v>
      </c>
      <c r="R37" s="7" t="s">
        <v>212</v>
      </c>
      <c r="S37" s="8">
        <f t="shared" si="6"/>
        <v>53.5</v>
      </c>
      <c r="T37" s="7" t="s">
        <v>106</v>
      </c>
      <c r="U37" t="s">
        <v>30</v>
      </c>
    </row>
    <row r="38" spans="2:21" x14ac:dyDescent="0.25">
      <c r="B38" s="49">
        <v>45321</v>
      </c>
      <c r="C38" s="9" t="s">
        <v>28</v>
      </c>
      <c r="D38" s="9" t="s">
        <v>105</v>
      </c>
      <c r="E38" s="6" t="s">
        <v>80</v>
      </c>
      <c r="F38" s="9" t="s">
        <v>105</v>
      </c>
      <c r="G38" s="7" t="s">
        <v>200</v>
      </c>
      <c r="H38" s="20" t="s">
        <v>111</v>
      </c>
      <c r="I38" s="7" t="s">
        <v>104</v>
      </c>
      <c r="J38" s="7" t="s">
        <v>92</v>
      </c>
      <c r="K38" s="7" t="s">
        <v>252</v>
      </c>
      <c r="L38" s="7" t="s">
        <v>72</v>
      </c>
      <c r="M38" s="20" t="s">
        <v>92</v>
      </c>
      <c r="N38" s="43">
        <f t="shared" si="0"/>
        <v>18</v>
      </c>
      <c r="O38" s="20" t="s">
        <v>96</v>
      </c>
      <c r="P38" s="20">
        <f t="shared" si="1"/>
        <v>5580</v>
      </c>
      <c r="Q38" s="50">
        <f t="shared" si="2"/>
        <v>0.17921146953405018</v>
      </c>
      <c r="R38" s="7" t="s">
        <v>212</v>
      </c>
      <c r="S38" s="8">
        <f t="shared" si="6"/>
        <v>53.5</v>
      </c>
      <c r="T38" s="7" t="s">
        <v>106</v>
      </c>
      <c r="U38" t="s">
        <v>30</v>
      </c>
    </row>
    <row r="39" spans="2:21" x14ac:dyDescent="0.25">
      <c r="N39" s="43" t="str">
        <f t="shared" si="0"/>
        <v/>
      </c>
      <c r="P39" s="20" t="str">
        <f t="shared" si="1"/>
        <v/>
      </c>
      <c r="Q39" s="50" t="str">
        <f t="shared" si="2"/>
        <v/>
      </c>
    </row>
    <row r="40" spans="2:21" x14ac:dyDescent="0.25">
      <c r="B40" s="49">
        <v>45321</v>
      </c>
      <c r="C40" s="9" t="s">
        <v>28</v>
      </c>
      <c r="D40" s="9" t="s">
        <v>17</v>
      </c>
      <c r="E40" s="6" t="s">
        <v>81</v>
      </c>
      <c r="F40" s="9" t="s">
        <v>17</v>
      </c>
      <c r="G40" s="7" t="s">
        <v>18</v>
      </c>
      <c r="H40" s="20" t="s">
        <v>111</v>
      </c>
      <c r="I40" s="7" t="s">
        <v>101</v>
      </c>
      <c r="J40" s="58" t="s">
        <v>254</v>
      </c>
      <c r="K40" s="58" t="s">
        <v>252</v>
      </c>
      <c r="L40" s="7" t="s">
        <v>27</v>
      </c>
      <c r="M40" s="20" t="s">
        <v>92</v>
      </c>
      <c r="N40" s="43">
        <f t="shared" si="0"/>
        <v>18</v>
      </c>
      <c r="O40" s="20" t="s">
        <v>96</v>
      </c>
      <c r="P40" s="20">
        <f t="shared" si="1"/>
        <v>5580</v>
      </c>
      <c r="Q40" s="50">
        <f t="shared" si="2"/>
        <v>0.17921146953405018</v>
      </c>
      <c r="R40" s="7" t="s">
        <v>211</v>
      </c>
      <c r="S40" s="8">
        <v>69.53</v>
      </c>
      <c r="T40" s="9" t="s">
        <v>71</v>
      </c>
      <c r="U40" t="s">
        <v>222</v>
      </c>
    </row>
    <row r="41" spans="2:21" x14ac:dyDescent="0.25">
      <c r="N41" s="43" t="str">
        <f t="shared" si="0"/>
        <v/>
      </c>
      <c r="P41" s="20" t="str">
        <f t="shared" si="1"/>
        <v/>
      </c>
      <c r="Q41" s="50" t="str">
        <f t="shared" si="2"/>
        <v/>
      </c>
    </row>
    <row r="42" spans="2:21" x14ac:dyDescent="0.25">
      <c r="B42" s="49">
        <v>45616</v>
      </c>
      <c r="C42" s="9" t="s">
        <v>199</v>
      </c>
      <c r="D42" s="9" t="s">
        <v>23</v>
      </c>
      <c r="F42" s="9" t="s">
        <v>24</v>
      </c>
      <c r="G42" s="7" t="s">
        <v>82</v>
      </c>
      <c r="H42" s="20" t="s">
        <v>112</v>
      </c>
      <c r="I42" s="7" t="s">
        <v>102</v>
      </c>
      <c r="L42" s="7" t="s">
        <v>27</v>
      </c>
      <c r="M42" s="20" t="s">
        <v>92</v>
      </c>
      <c r="N42" s="43">
        <f t="shared" si="0"/>
        <v>18</v>
      </c>
      <c r="O42" s="20" t="s">
        <v>95</v>
      </c>
      <c r="P42" s="20">
        <f t="shared" si="1"/>
        <v>5760</v>
      </c>
      <c r="Q42" s="50">
        <f t="shared" si="2"/>
        <v>0.22569444444444445</v>
      </c>
      <c r="R42" s="7" t="s">
        <v>192</v>
      </c>
      <c r="S42" s="8">
        <v>0</v>
      </c>
      <c r="T42" s="7" t="s">
        <v>106</v>
      </c>
      <c r="U42" t="s">
        <v>26</v>
      </c>
    </row>
    <row r="43" spans="2:21" x14ac:dyDescent="0.25">
      <c r="N43" s="43" t="str">
        <f t="shared" si="0"/>
        <v/>
      </c>
      <c r="P43" s="20" t="str">
        <f t="shared" ref="P43:P62" si="7">IF(OR(M43="",O43=""),"",M43*O43)</f>
        <v/>
      </c>
      <c r="Q43" s="50" t="str">
        <f t="shared" si="2"/>
        <v/>
      </c>
    </row>
    <row r="44" spans="2:21" x14ac:dyDescent="0.25">
      <c r="B44" s="49">
        <v>45621</v>
      </c>
      <c r="C44" s="9" t="s">
        <v>16</v>
      </c>
      <c r="D44" s="7" t="s">
        <v>190</v>
      </c>
      <c r="E44" s="6" t="s">
        <v>243</v>
      </c>
      <c r="F44" s="7" t="s">
        <v>17</v>
      </c>
      <c r="G44" s="7" t="s">
        <v>225</v>
      </c>
      <c r="H44" s="20" t="s">
        <v>111</v>
      </c>
      <c r="I44" s="7" t="s">
        <v>103</v>
      </c>
      <c r="J44" s="7" t="s">
        <v>92</v>
      </c>
      <c r="K44" s="7" t="s">
        <v>252</v>
      </c>
      <c r="L44" s="7" t="s">
        <v>83</v>
      </c>
      <c r="M44" s="20" t="s">
        <v>93</v>
      </c>
      <c r="N44" s="43">
        <f t="shared" si="0"/>
        <v>15</v>
      </c>
      <c r="O44" s="20" t="s">
        <v>97</v>
      </c>
      <c r="P44" s="20">
        <f t="shared" si="7"/>
        <v>4980</v>
      </c>
      <c r="Q44" s="50">
        <f t="shared" si="2"/>
        <v>0.20080321285140562</v>
      </c>
      <c r="R44" s="7" t="s">
        <v>211</v>
      </c>
      <c r="S44" s="8">
        <f>453.59/8</f>
        <v>56.698749999999997</v>
      </c>
      <c r="T44" s="9" t="s">
        <v>1</v>
      </c>
    </row>
    <row r="45" spans="2:21" x14ac:dyDescent="0.25">
      <c r="B45" s="49">
        <v>45621</v>
      </c>
      <c r="C45" s="9" t="s">
        <v>16</v>
      </c>
      <c r="D45" s="7" t="s">
        <v>190</v>
      </c>
      <c r="E45" s="6" t="s">
        <v>244</v>
      </c>
      <c r="F45" s="7" t="s">
        <v>17</v>
      </c>
      <c r="G45" s="7" t="s">
        <v>225</v>
      </c>
      <c r="H45" s="20" t="s">
        <v>111</v>
      </c>
      <c r="I45" s="7" t="s">
        <v>103</v>
      </c>
      <c r="J45" s="7" t="s">
        <v>92</v>
      </c>
      <c r="K45" s="7" t="s">
        <v>252</v>
      </c>
      <c r="L45" s="7" t="s">
        <v>83</v>
      </c>
      <c r="M45" s="20" t="s">
        <v>93</v>
      </c>
      <c r="N45" s="43">
        <f t="shared" si="0"/>
        <v>15</v>
      </c>
      <c r="O45" s="20" t="s">
        <v>97</v>
      </c>
      <c r="P45" s="20">
        <f t="shared" si="7"/>
        <v>4980</v>
      </c>
      <c r="Q45" s="50">
        <f t="shared" si="2"/>
        <v>0.20080321285140562</v>
      </c>
      <c r="R45" s="7" t="s">
        <v>211</v>
      </c>
      <c r="S45" s="8">
        <f t="shared" ref="S45:S51" si="8">453.59/8</f>
        <v>56.698749999999997</v>
      </c>
      <c r="T45" s="9" t="s">
        <v>2</v>
      </c>
    </row>
    <row r="46" spans="2:21" x14ac:dyDescent="0.25">
      <c r="B46" s="49">
        <v>45621</v>
      </c>
      <c r="C46" s="9" t="s">
        <v>16</v>
      </c>
      <c r="D46" s="7" t="s">
        <v>190</v>
      </c>
      <c r="E46" s="6" t="s">
        <v>245</v>
      </c>
      <c r="F46" s="7" t="s">
        <v>17</v>
      </c>
      <c r="G46" s="7" t="s">
        <v>225</v>
      </c>
      <c r="H46" s="20" t="s">
        <v>111</v>
      </c>
      <c r="I46" s="7" t="s">
        <v>103</v>
      </c>
      <c r="J46" s="7" t="s">
        <v>92</v>
      </c>
      <c r="K46" s="7" t="s">
        <v>252</v>
      </c>
      <c r="L46" s="7" t="s">
        <v>83</v>
      </c>
      <c r="M46" s="20" t="s">
        <v>93</v>
      </c>
      <c r="N46" s="43">
        <f t="shared" si="0"/>
        <v>15</v>
      </c>
      <c r="O46" s="20" t="s">
        <v>97</v>
      </c>
      <c r="P46" s="20">
        <f t="shared" si="7"/>
        <v>4980</v>
      </c>
      <c r="Q46" s="50">
        <f t="shared" si="2"/>
        <v>0.20080321285140562</v>
      </c>
      <c r="R46" s="7" t="s">
        <v>211</v>
      </c>
      <c r="S46" s="8">
        <f t="shared" si="8"/>
        <v>56.698749999999997</v>
      </c>
      <c r="T46" s="9" t="s">
        <v>3</v>
      </c>
    </row>
    <row r="47" spans="2:21" x14ac:dyDescent="0.25">
      <c r="B47" s="49">
        <v>45621</v>
      </c>
      <c r="C47" s="9" t="s">
        <v>16</v>
      </c>
      <c r="D47" s="7" t="s">
        <v>190</v>
      </c>
      <c r="E47" s="6" t="s">
        <v>246</v>
      </c>
      <c r="F47" s="7" t="s">
        <v>17</v>
      </c>
      <c r="G47" s="7" t="s">
        <v>225</v>
      </c>
      <c r="H47" s="20" t="s">
        <v>111</v>
      </c>
      <c r="I47" s="7" t="s">
        <v>103</v>
      </c>
      <c r="J47" s="7" t="s">
        <v>92</v>
      </c>
      <c r="K47" s="7" t="s">
        <v>252</v>
      </c>
      <c r="L47" s="7" t="s">
        <v>83</v>
      </c>
      <c r="M47" s="20" t="s">
        <v>93</v>
      </c>
      <c r="N47" s="43">
        <f t="shared" si="0"/>
        <v>15</v>
      </c>
      <c r="O47" s="20" t="s">
        <v>97</v>
      </c>
      <c r="P47" s="20">
        <f t="shared" si="7"/>
        <v>4980</v>
      </c>
      <c r="Q47" s="50">
        <f t="shared" si="2"/>
        <v>0.20080321285140562</v>
      </c>
      <c r="R47" s="7" t="s">
        <v>211</v>
      </c>
      <c r="S47" s="8">
        <f t="shared" si="8"/>
        <v>56.698749999999997</v>
      </c>
      <c r="T47" s="9" t="s">
        <v>4</v>
      </c>
    </row>
    <row r="48" spans="2:21" x14ac:dyDescent="0.25">
      <c r="B48" s="49">
        <v>45621</v>
      </c>
      <c r="C48" s="9" t="s">
        <v>16</v>
      </c>
      <c r="D48" s="7" t="s">
        <v>190</v>
      </c>
      <c r="E48" s="6" t="s">
        <v>247</v>
      </c>
      <c r="F48" s="7" t="s">
        <v>17</v>
      </c>
      <c r="G48" s="7" t="s">
        <v>225</v>
      </c>
      <c r="H48" s="20" t="s">
        <v>111</v>
      </c>
      <c r="I48" s="7" t="s">
        <v>103</v>
      </c>
      <c r="J48" s="7" t="s">
        <v>92</v>
      </c>
      <c r="K48" s="7" t="s">
        <v>252</v>
      </c>
      <c r="L48" s="7" t="s">
        <v>83</v>
      </c>
      <c r="M48" s="20" t="s">
        <v>93</v>
      </c>
      <c r="N48" s="43">
        <f t="shared" si="0"/>
        <v>15</v>
      </c>
      <c r="O48" s="20" t="s">
        <v>97</v>
      </c>
      <c r="P48" s="20">
        <f t="shared" si="7"/>
        <v>4980</v>
      </c>
      <c r="Q48" s="50">
        <f t="shared" si="2"/>
        <v>0.20080321285140562</v>
      </c>
      <c r="R48" s="7" t="s">
        <v>211</v>
      </c>
      <c r="S48" s="8">
        <f t="shared" si="8"/>
        <v>56.698749999999997</v>
      </c>
      <c r="T48" s="9" t="s">
        <v>5</v>
      </c>
    </row>
    <row r="49" spans="2:21" x14ac:dyDescent="0.25">
      <c r="B49" s="49">
        <v>45621</v>
      </c>
      <c r="C49" s="9" t="s">
        <v>16</v>
      </c>
      <c r="D49" s="7" t="s">
        <v>190</v>
      </c>
      <c r="E49" s="6" t="s">
        <v>248</v>
      </c>
      <c r="F49" s="7" t="s">
        <v>17</v>
      </c>
      <c r="G49" s="7" t="s">
        <v>225</v>
      </c>
      <c r="H49" s="20" t="s">
        <v>111</v>
      </c>
      <c r="I49" s="7" t="s">
        <v>103</v>
      </c>
      <c r="J49" s="7" t="s">
        <v>92</v>
      </c>
      <c r="K49" s="7" t="s">
        <v>252</v>
      </c>
      <c r="L49" s="7" t="s">
        <v>83</v>
      </c>
      <c r="M49" s="20" t="s">
        <v>93</v>
      </c>
      <c r="N49" s="43">
        <f t="shared" si="0"/>
        <v>15</v>
      </c>
      <c r="O49" s="20" t="s">
        <v>97</v>
      </c>
      <c r="P49" s="20">
        <f t="shared" si="7"/>
        <v>4980</v>
      </c>
      <c r="Q49" s="50">
        <f t="shared" si="2"/>
        <v>0.20080321285140562</v>
      </c>
      <c r="R49" s="7" t="s">
        <v>211</v>
      </c>
      <c r="S49" s="8">
        <f t="shared" si="8"/>
        <v>56.698749999999997</v>
      </c>
      <c r="T49" s="9" t="s">
        <v>6</v>
      </c>
    </row>
    <row r="50" spans="2:21" x14ac:dyDescent="0.25">
      <c r="B50" s="49">
        <v>45621</v>
      </c>
      <c r="C50" s="9" t="s">
        <v>16</v>
      </c>
      <c r="D50" s="7" t="s">
        <v>190</v>
      </c>
      <c r="E50" s="6" t="s">
        <v>249</v>
      </c>
      <c r="F50" s="7" t="s">
        <v>17</v>
      </c>
      <c r="G50" s="7" t="s">
        <v>225</v>
      </c>
      <c r="H50" s="20" t="s">
        <v>111</v>
      </c>
      <c r="I50" s="7" t="s">
        <v>103</v>
      </c>
      <c r="J50" s="7" t="s">
        <v>92</v>
      </c>
      <c r="K50" s="7" t="s">
        <v>252</v>
      </c>
      <c r="L50" s="7" t="s">
        <v>83</v>
      </c>
      <c r="M50" s="20" t="s">
        <v>93</v>
      </c>
      <c r="N50" s="43">
        <f t="shared" si="0"/>
        <v>15</v>
      </c>
      <c r="O50" s="20" t="s">
        <v>97</v>
      </c>
      <c r="P50" s="20">
        <f t="shared" si="7"/>
        <v>4980</v>
      </c>
      <c r="Q50" s="50">
        <f t="shared" si="2"/>
        <v>0.20080321285140562</v>
      </c>
      <c r="R50" s="7" t="s">
        <v>211</v>
      </c>
      <c r="S50" s="8">
        <f t="shared" si="8"/>
        <v>56.698749999999997</v>
      </c>
      <c r="T50" s="9" t="s">
        <v>7</v>
      </c>
    </row>
    <row r="51" spans="2:21" x14ac:dyDescent="0.25">
      <c r="B51" s="49">
        <v>45621</v>
      </c>
      <c r="C51" s="9" t="s">
        <v>16</v>
      </c>
      <c r="D51" s="7" t="s">
        <v>190</v>
      </c>
      <c r="E51" s="6" t="s">
        <v>250</v>
      </c>
      <c r="F51" s="7" t="s">
        <v>17</v>
      </c>
      <c r="G51" s="7" t="s">
        <v>225</v>
      </c>
      <c r="H51" s="20" t="s">
        <v>111</v>
      </c>
      <c r="I51" s="7" t="s">
        <v>103</v>
      </c>
      <c r="J51" s="7" t="s">
        <v>92</v>
      </c>
      <c r="K51" s="7" t="s">
        <v>252</v>
      </c>
      <c r="L51" s="7" t="s">
        <v>83</v>
      </c>
      <c r="M51" s="20" t="s">
        <v>93</v>
      </c>
      <c r="N51" s="43">
        <f t="shared" si="0"/>
        <v>15</v>
      </c>
      <c r="O51" s="20" t="s">
        <v>97</v>
      </c>
      <c r="P51" s="20">
        <f t="shared" si="7"/>
        <v>4980</v>
      </c>
      <c r="Q51" s="50">
        <f t="shared" si="2"/>
        <v>0.20080321285140562</v>
      </c>
      <c r="R51" s="7" t="s">
        <v>211</v>
      </c>
      <c r="S51" s="8">
        <f t="shared" si="8"/>
        <v>56.698749999999997</v>
      </c>
      <c r="T51" s="9" t="s">
        <v>0</v>
      </c>
    </row>
    <row r="52" spans="2:21" x14ac:dyDescent="0.25">
      <c r="F52" s="7"/>
      <c r="N52" s="43" t="str">
        <f t="shared" si="0"/>
        <v/>
      </c>
      <c r="P52" s="20" t="str">
        <f t="shared" si="7"/>
        <v/>
      </c>
      <c r="Q52" s="50" t="str">
        <f t="shared" si="2"/>
        <v/>
      </c>
      <c r="T52" s="10"/>
    </row>
    <row r="53" spans="2:21" x14ac:dyDescent="0.25">
      <c r="B53" s="49">
        <v>45623</v>
      </c>
      <c r="C53" s="9" t="s">
        <v>16</v>
      </c>
      <c r="D53" s="9" t="s">
        <v>21</v>
      </c>
      <c r="F53" s="9" t="s">
        <v>21</v>
      </c>
      <c r="G53" s="7" t="s">
        <v>22</v>
      </c>
      <c r="H53" s="20" t="s">
        <v>111</v>
      </c>
      <c r="I53" s="7" t="s">
        <v>100</v>
      </c>
      <c r="L53" s="7" t="s">
        <v>20</v>
      </c>
      <c r="M53" s="20" t="s">
        <v>94</v>
      </c>
      <c r="N53" s="43">
        <f t="shared" si="0"/>
        <v>16.5</v>
      </c>
      <c r="O53" s="20" t="s">
        <v>98</v>
      </c>
      <c r="P53" s="20">
        <f t="shared" si="7"/>
        <v>4686</v>
      </c>
      <c r="Q53" s="50">
        <f t="shared" si="2"/>
        <v>0.21340162185232606</v>
      </c>
      <c r="R53" s="7" t="s">
        <v>192</v>
      </c>
      <c r="S53" s="8">
        <v>54.9</v>
      </c>
      <c r="T53" s="7" t="s">
        <v>210</v>
      </c>
    </row>
    <row r="54" spans="2:21" x14ac:dyDescent="0.25">
      <c r="B54" s="49">
        <v>45623</v>
      </c>
      <c r="C54" s="9" t="s">
        <v>16</v>
      </c>
      <c r="D54" s="9" t="s">
        <v>21</v>
      </c>
      <c r="F54" s="9" t="s">
        <v>21</v>
      </c>
      <c r="G54" s="7" t="s">
        <v>22</v>
      </c>
      <c r="H54" s="20" t="s">
        <v>111</v>
      </c>
      <c r="I54" s="7" t="s">
        <v>100</v>
      </c>
      <c r="L54" s="7" t="s">
        <v>20</v>
      </c>
      <c r="M54" s="20" t="s">
        <v>94</v>
      </c>
      <c r="N54" s="43">
        <f t="shared" si="0"/>
        <v>16.5</v>
      </c>
      <c r="O54" s="20" t="s">
        <v>98</v>
      </c>
      <c r="P54" s="20">
        <f t="shared" si="7"/>
        <v>4686</v>
      </c>
      <c r="Q54" s="50">
        <f t="shared" si="2"/>
        <v>0.21340162185232606</v>
      </c>
      <c r="R54" s="7" t="s">
        <v>192</v>
      </c>
      <c r="S54" s="8">
        <v>54.9</v>
      </c>
      <c r="T54" s="7" t="s">
        <v>203</v>
      </c>
    </row>
    <row r="55" spans="2:21" x14ac:dyDescent="0.25">
      <c r="B55" s="49">
        <v>45623</v>
      </c>
      <c r="C55" s="9" t="s">
        <v>16</v>
      </c>
      <c r="D55" s="9" t="s">
        <v>21</v>
      </c>
      <c r="F55" s="9" t="s">
        <v>21</v>
      </c>
      <c r="G55" s="7" t="s">
        <v>22</v>
      </c>
      <c r="H55" s="20" t="s">
        <v>111</v>
      </c>
      <c r="I55" s="7" t="s">
        <v>100</v>
      </c>
      <c r="L55" s="7" t="s">
        <v>20</v>
      </c>
      <c r="M55" s="20" t="s">
        <v>94</v>
      </c>
      <c r="N55" s="43">
        <f t="shared" si="0"/>
        <v>16.5</v>
      </c>
      <c r="O55" s="20" t="s">
        <v>98</v>
      </c>
      <c r="P55" s="20">
        <f t="shared" si="7"/>
        <v>4686</v>
      </c>
      <c r="Q55" s="50">
        <f t="shared" si="2"/>
        <v>0.21340162185232606</v>
      </c>
      <c r="R55" s="7" t="s">
        <v>192</v>
      </c>
      <c r="S55" s="8">
        <v>54.9</v>
      </c>
      <c r="T55" s="7" t="s">
        <v>204</v>
      </c>
    </row>
    <row r="56" spans="2:21" x14ac:dyDescent="0.25">
      <c r="B56" s="49">
        <v>45623</v>
      </c>
      <c r="C56" s="9" t="s">
        <v>16</v>
      </c>
      <c r="D56" s="9" t="s">
        <v>21</v>
      </c>
      <c r="F56" s="9" t="s">
        <v>21</v>
      </c>
      <c r="G56" s="7" t="s">
        <v>22</v>
      </c>
      <c r="H56" s="20" t="s">
        <v>111</v>
      </c>
      <c r="I56" s="7" t="s">
        <v>100</v>
      </c>
      <c r="L56" s="7" t="s">
        <v>20</v>
      </c>
      <c r="M56" s="20" t="s">
        <v>94</v>
      </c>
      <c r="N56" s="43">
        <f t="shared" si="0"/>
        <v>16.5</v>
      </c>
      <c r="O56" s="20" t="s">
        <v>98</v>
      </c>
      <c r="P56" s="20">
        <f t="shared" si="7"/>
        <v>4686</v>
      </c>
      <c r="Q56" s="50">
        <f t="shared" si="2"/>
        <v>0.21340162185232606</v>
      </c>
      <c r="R56" s="7" t="s">
        <v>192</v>
      </c>
      <c r="S56" s="8">
        <v>54.9</v>
      </c>
      <c r="T56" s="7" t="s">
        <v>205</v>
      </c>
    </row>
    <row r="57" spans="2:21" x14ac:dyDescent="0.25">
      <c r="B57" s="49">
        <v>45623</v>
      </c>
      <c r="C57" s="9" t="s">
        <v>16</v>
      </c>
      <c r="D57" s="9" t="s">
        <v>21</v>
      </c>
      <c r="F57" s="9" t="s">
        <v>21</v>
      </c>
      <c r="G57" s="7" t="s">
        <v>22</v>
      </c>
      <c r="H57" s="20" t="s">
        <v>111</v>
      </c>
      <c r="I57" s="7" t="s">
        <v>100</v>
      </c>
      <c r="L57" s="7" t="s">
        <v>20</v>
      </c>
      <c r="M57" s="20" t="s">
        <v>94</v>
      </c>
      <c r="N57" s="43">
        <f t="shared" si="0"/>
        <v>16.5</v>
      </c>
      <c r="O57" s="20" t="s">
        <v>98</v>
      </c>
      <c r="P57" s="20">
        <f t="shared" si="7"/>
        <v>4686</v>
      </c>
      <c r="Q57" s="50">
        <f t="shared" si="2"/>
        <v>0.21340162185232606</v>
      </c>
      <c r="R57" s="7" t="s">
        <v>192</v>
      </c>
      <c r="S57" s="8">
        <v>54.9</v>
      </c>
      <c r="T57" s="7" t="s">
        <v>206</v>
      </c>
    </row>
    <row r="58" spans="2:21" x14ac:dyDescent="0.25">
      <c r="B58" s="49">
        <v>45623</v>
      </c>
      <c r="C58" s="9" t="s">
        <v>16</v>
      </c>
      <c r="D58" s="9" t="s">
        <v>21</v>
      </c>
      <c r="F58" s="9" t="s">
        <v>21</v>
      </c>
      <c r="G58" s="7" t="s">
        <v>22</v>
      </c>
      <c r="H58" s="20" t="s">
        <v>111</v>
      </c>
      <c r="I58" s="7" t="s">
        <v>100</v>
      </c>
      <c r="L58" s="7" t="s">
        <v>20</v>
      </c>
      <c r="M58" s="20" t="s">
        <v>94</v>
      </c>
      <c r="N58" s="43">
        <f t="shared" si="0"/>
        <v>16.5</v>
      </c>
      <c r="O58" s="20" t="s">
        <v>98</v>
      </c>
      <c r="P58" s="20">
        <f t="shared" si="7"/>
        <v>4686</v>
      </c>
      <c r="Q58" s="50">
        <f t="shared" si="2"/>
        <v>0.21340162185232606</v>
      </c>
      <c r="R58" s="7" t="s">
        <v>192</v>
      </c>
      <c r="S58" s="8">
        <v>54.9</v>
      </c>
      <c r="T58" s="7" t="s">
        <v>209</v>
      </c>
    </row>
    <row r="59" spans="2:21" x14ac:dyDescent="0.25">
      <c r="B59" s="49">
        <v>45623</v>
      </c>
      <c r="C59" s="9" t="s">
        <v>16</v>
      </c>
      <c r="D59" s="9" t="s">
        <v>21</v>
      </c>
      <c r="F59" s="9" t="s">
        <v>21</v>
      </c>
      <c r="G59" s="7" t="s">
        <v>22</v>
      </c>
      <c r="H59" s="20" t="s">
        <v>111</v>
      </c>
      <c r="I59" s="7" t="s">
        <v>100</v>
      </c>
      <c r="L59" s="7" t="s">
        <v>20</v>
      </c>
      <c r="M59" s="20" t="s">
        <v>94</v>
      </c>
      <c r="N59" s="43">
        <f t="shared" si="0"/>
        <v>16.5</v>
      </c>
      <c r="O59" s="20" t="s">
        <v>98</v>
      </c>
      <c r="P59" s="20">
        <f t="shared" si="7"/>
        <v>4686</v>
      </c>
      <c r="Q59" s="50">
        <f t="shared" si="2"/>
        <v>0.21340162185232606</v>
      </c>
      <c r="R59" s="7" t="s">
        <v>192</v>
      </c>
      <c r="S59" s="8">
        <v>54.9</v>
      </c>
      <c r="T59" s="7" t="s">
        <v>207</v>
      </c>
    </row>
    <row r="60" spans="2:21" x14ac:dyDescent="0.25">
      <c r="B60" s="49">
        <v>45623</v>
      </c>
      <c r="C60" s="9" t="s">
        <v>16</v>
      </c>
      <c r="D60" s="9" t="s">
        <v>21</v>
      </c>
      <c r="F60" s="9" t="s">
        <v>21</v>
      </c>
      <c r="G60" s="7" t="s">
        <v>22</v>
      </c>
      <c r="H60" s="20" t="s">
        <v>111</v>
      </c>
      <c r="I60" s="7" t="s">
        <v>100</v>
      </c>
      <c r="L60" s="7" t="s">
        <v>20</v>
      </c>
      <c r="M60" s="20" t="s">
        <v>94</v>
      </c>
      <c r="N60" s="43">
        <f t="shared" si="0"/>
        <v>16.5</v>
      </c>
      <c r="O60" s="20" t="s">
        <v>98</v>
      </c>
      <c r="P60" s="20">
        <f t="shared" si="7"/>
        <v>4686</v>
      </c>
      <c r="Q60" s="50">
        <f t="shared" si="2"/>
        <v>0.21340162185232606</v>
      </c>
      <c r="R60" s="7" t="s">
        <v>192</v>
      </c>
      <c r="S60" s="8">
        <v>54.9</v>
      </c>
      <c r="T60" s="7" t="s">
        <v>208</v>
      </c>
    </row>
    <row r="61" spans="2:21" x14ac:dyDescent="0.25">
      <c r="N61" s="43" t="str">
        <f t="shared" si="0"/>
        <v/>
      </c>
      <c r="P61" s="20" t="str">
        <f t="shared" si="7"/>
        <v/>
      </c>
      <c r="Q61" s="50" t="str">
        <f t="shared" si="2"/>
        <v/>
      </c>
    </row>
    <row r="62" spans="2:21" x14ac:dyDescent="0.25">
      <c r="B62" s="49">
        <v>45635</v>
      </c>
      <c r="C62" s="9" t="s">
        <v>16</v>
      </c>
      <c r="D62" s="7" t="s">
        <v>190</v>
      </c>
      <c r="F62" s="51" t="s">
        <v>217</v>
      </c>
      <c r="G62" s="51" t="s">
        <v>218</v>
      </c>
      <c r="H62" s="20" t="s">
        <v>111</v>
      </c>
      <c r="I62" s="7" t="s">
        <v>191</v>
      </c>
      <c r="L62" s="7" t="s">
        <v>20</v>
      </c>
      <c r="M62" s="20" t="s">
        <v>94</v>
      </c>
      <c r="N62" s="43">
        <f t="shared" si="0"/>
        <v>16.5</v>
      </c>
      <c r="O62" s="54">
        <f>164*83/100</f>
        <v>136.12</v>
      </c>
      <c r="P62" s="54">
        <f t="shared" si="7"/>
        <v>4491.96</v>
      </c>
      <c r="Q62" s="50">
        <f t="shared" si="2"/>
        <v>0.2226199699017801</v>
      </c>
      <c r="R62" s="53" t="s">
        <v>212</v>
      </c>
      <c r="S62" s="8">
        <v>64.989999999999995</v>
      </c>
      <c r="T62" s="52" t="s">
        <v>219</v>
      </c>
      <c r="U62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B0E-0637-6E42-B362-6F32BD17703B}">
  <dimension ref="B1:AD26"/>
  <sheetViews>
    <sheetView workbookViewId="0">
      <selection activeCell="G11" sqref="G11:H11"/>
    </sheetView>
  </sheetViews>
  <sheetFormatPr baseColWidth="10" defaultColWidth="12.625" defaultRowHeight="21" x14ac:dyDescent="0.25"/>
  <cols>
    <col min="1" max="1" width="2.625" style="9" customWidth="1"/>
    <col min="2" max="2" width="12.625" style="9" customWidth="1"/>
    <col min="3" max="3" width="0.875" style="9" customWidth="1"/>
    <col min="4" max="4" width="10.625" style="9" customWidth="1"/>
    <col min="5" max="5" width="0.875" style="9" customWidth="1"/>
    <col min="6" max="7" width="10.625" style="9" customWidth="1"/>
    <col min="8" max="8" width="12.625" style="9" customWidth="1"/>
    <col min="9" max="9" width="10.625" style="20" customWidth="1"/>
    <col min="10" max="10" width="0.875" style="9" customWidth="1"/>
    <col min="11" max="13" width="7.125" style="9" customWidth="1"/>
    <col min="14" max="14" width="0.875" style="9" customWidth="1"/>
    <col min="15" max="17" width="10.625" style="20" customWidth="1"/>
    <col min="18" max="18" width="0.875" style="9" customWidth="1"/>
    <col min="19" max="20" width="10.625" style="20" customWidth="1"/>
    <col min="21" max="21" width="1" style="9" customWidth="1"/>
    <col min="22" max="24" width="10.625" style="9" customWidth="1"/>
    <col min="25" max="25" width="10.625" style="21" customWidth="1"/>
    <col min="26" max="26" width="1" style="9" customWidth="1"/>
    <col min="27" max="29" width="10.625" style="9" customWidth="1"/>
    <col min="30" max="30" width="1" style="9" customWidth="1"/>
    <col min="31" max="16384" width="12.625" style="9"/>
  </cols>
  <sheetData>
    <row r="1" spans="2:30" s="3" customFormat="1" x14ac:dyDescent="0.25">
      <c r="C1" s="37"/>
      <c r="D1" s="3" t="s">
        <v>137</v>
      </c>
      <c r="E1" s="37"/>
      <c r="F1" s="3" t="s">
        <v>136</v>
      </c>
      <c r="G1" s="3" t="s">
        <v>136</v>
      </c>
      <c r="H1" s="3" t="s">
        <v>136</v>
      </c>
      <c r="I1" s="18" t="s">
        <v>136</v>
      </c>
      <c r="J1" s="37"/>
      <c r="K1" s="3" t="s">
        <v>132</v>
      </c>
      <c r="L1" s="3" t="s">
        <v>132</v>
      </c>
      <c r="M1" s="3" t="s">
        <v>132</v>
      </c>
      <c r="N1" s="37"/>
      <c r="O1" s="18" t="s">
        <v>126</v>
      </c>
      <c r="P1" s="18" t="s">
        <v>126</v>
      </c>
      <c r="Q1" s="18" t="s">
        <v>135</v>
      </c>
      <c r="R1" s="37"/>
      <c r="S1" s="18" t="s">
        <v>134</v>
      </c>
      <c r="T1" s="18" t="s">
        <v>133</v>
      </c>
      <c r="U1" s="37"/>
      <c r="V1" s="3" t="s">
        <v>132</v>
      </c>
      <c r="W1" s="3" t="s">
        <v>132</v>
      </c>
      <c r="X1" s="3" t="s">
        <v>132</v>
      </c>
      <c r="Y1" s="38" t="s">
        <v>132</v>
      </c>
      <c r="Z1" s="37"/>
      <c r="AA1" s="3" t="s">
        <v>131</v>
      </c>
      <c r="AB1" s="3" t="s">
        <v>131</v>
      </c>
      <c r="AC1" s="3" t="s">
        <v>131</v>
      </c>
      <c r="AD1" s="37"/>
    </row>
    <row r="2" spans="2:30" x14ac:dyDescent="0.25">
      <c r="C2" s="22"/>
      <c r="D2" s="9" t="s">
        <v>130</v>
      </c>
      <c r="E2" s="22"/>
      <c r="F2" s="9" t="s">
        <v>124</v>
      </c>
      <c r="G2" s="9" t="s">
        <v>123</v>
      </c>
      <c r="H2" s="9" t="s">
        <v>129</v>
      </c>
      <c r="I2" s="20" t="s">
        <v>122</v>
      </c>
      <c r="J2" s="22"/>
      <c r="K2" s="9" t="s">
        <v>128</v>
      </c>
      <c r="L2" s="9" t="s">
        <v>127</v>
      </c>
      <c r="M2" s="9" t="s">
        <v>126</v>
      </c>
      <c r="N2" s="22"/>
      <c r="O2" s="20" t="s">
        <v>122</v>
      </c>
      <c r="P2" s="20" t="s">
        <v>121</v>
      </c>
      <c r="Q2" s="20" t="s">
        <v>125</v>
      </c>
      <c r="R2" s="22"/>
      <c r="S2" s="20" t="s">
        <v>110</v>
      </c>
      <c r="T2" s="20" t="s">
        <v>110</v>
      </c>
      <c r="U2" s="22"/>
      <c r="V2" s="9" t="s">
        <v>124</v>
      </c>
      <c r="W2" s="9" t="s">
        <v>123</v>
      </c>
      <c r="X2" s="9" t="s">
        <v>122</v>
      </c>
      <c r="Y2" s="21" t="s">
        <v>121</v>
      </c>
      <c r="Z2" s="22"/>
      <c r="AA2" s="9" t="s">
        <v>120</v>
      </c>
      <c r="AB2" s="9" t="s">
        <v>110</v>
      </c>
      <c r="AC2" s="9" t="s">
        <v>119</v>
      </c>
      <c r="AD2" s="22"/>
    </row>
    <row r="3" spans="2:30" x14ac:dyDescent="0.25">
      <c r="C3" s="22"/>
      <c r="E3" s="22"/>
      <c r="J3" s="22"/>
      <c r="N3" s="22"/>
      <c r="R3" s="22"/>
      <c r="U3" s="22"/>
      <c r="Z3" s="22"/>
      <c r="AD3" s="22"/>
    </row>
    <row r="4" spans="2:30" x14ac:dyDescent="0.25">
      <c r="B4" s="36" t="s">
        <v>118</v>
      </c>
      <c r="C4" s="22"/>
      <c r="D4" s="36">
        <v>100</v>
      </c>
      <c r="E4" s="22"/>
      <c r="F4" s="36">
        <v>155</v>
      </c>
      <c r="G4" s="36">
        <v>103</v>
      </c>
      <c r="H4" s="36"/>
      <c r="I4" s="35">
        <f>F4*G4/100</f>
        <v>159.65</v>
      </c>
      <c r="J4" s="22"/>
      <c r="K4" s="36">
        <v>4</v>
      </c>
      <c r="L4" s="36">
        <v>9</v>
      </c>
      <c r="M4" s="36">
        <f>K4*L4</f>
        <v>36</v>
      </c>
      <c r="N4" s="22"/>
      <c r="O4" s="35">
        <f>I4*M4</f>
        <v>5747.4000000000005</v>
      </c>
      <c r="P4" s="34">
        <f>O4/10000</f>
        <v>0.57474000000000003</v>
      </c>
      <c r="Q4" s="34">
        <f>D4/(O4/1000)</f>
        <v>17.399171799422344</v>
      </c>
      <c r="R4" s="22"/>
      <c r="S4" s="35">
        <f>D4*18/Q4</f>
        <v>103.45320000000002</v>
      </c>
      <c r="T4" s="35">
        <f>S4*0.76</f>
        <v>78.624432000000013</v>
      </c>
      <c r="U4" s="22"/>
      <c r="V4" s="36">
        <v>670</v>
      </c>
      <c r="W4" s="36">
        <v>1013</v>
      </c>
      <c r="X4" s="35">
        <f>V4*W4/100</f>
        <v>6787.1</v>
      </c>
      <c r="Y4" s="34">
        <f>X4/10000</f>
        <v>0.67871000000000004</v>
      </c>
      <c r="Z4" s="22"/>
      <c r="AA4" s="34">
        <v>18.600000000000001</v>
      </c>
      <c r="AB4" s="34">
        <v>4.3499999999999996</v>
      </c>
      <c r="AC4" s="34">
        <f>AA4*AB4</f>
        <v>80.91</v>
      </c>
      <c r="AD4" s="22"/>
    </row>
    <row r="5" spans="2:30" x14ac:dyDescent="0.25">
      <c r="C5" s="22"/>
      <c r="E5" s="22"/>
      <c r="J5" s="22"/>
      <c r="N5" s="22"/>
      <c r="P5" s="21"/>
      <c r="Q5" s="21"/>
      <c r="R5" s="22"/>
      <c r="S5" s="21"/>
      <c r="T5" s="21"/>
      <c r="U5" s="22"/>
      <c r="X5" s="20"/>
      <c r="Z5" s="22"/>
      <c r="AA5" s="21"/>
      <c r="AB5" s="21"/>
      <c r="AC5" s="21"/>
      <c r="AD5" s="22"/>
    </row>
    <row r="6" spans="2:30" x14ac:dyDescent="0.25">
      <c r="B6" s="32" t="s">
        <v>117</v>
      </c>
      <c r="C6" s="22"/>
      <c r="D6" s="32">
        <v>100</v>
      </c>
      <c r="E6" s="22"/>
      <c r="F6" s="32">
        <v>125</v>
      </c>
      <c r="G6" s="32">
        <v>125</v>
      </c>
      <c r="H6" s="32"/>
      <c r="I6" s="33">
        <v>155</v>
      </c>
      <c r="J6" s="22"/>
      <c r="K6" s="32">
        <v>4</v>
      </c>
      <c r="L6" s="32">
        <v>9</v>
      </c>
      <c r="M6" s="32">
        <f>K6*L6</f>
        <v>36</v>
      </c>
      <c r="N6" s="22"/>
      <c r="O6" s="31">
        <f>I6*M6</f>
        <v>5580</v>
      </c>
      <c r="P6" s="30">
        <f>O6/10000</f>
        <v>0.55800000000000005</v>
      </c>
      <c r="Q6" s="30">
        <f>D6/(O6/1000)</f>
        <v>17.921146953405017</v>
      </c>
      <c r="R6" s="22"/>
      <c r="S6" s="30">
        <f>D6*18/Q6</f>
        <v>100.44</v>
      </c>
      <c r="T6" s="30">
        <f>S6*0.76</f>
        <v>76.334400000000002</v>
      </c>
      <c r="U6" s="22"/>
      <c r="V6" s="32">
        <v>540</v>
      </c>
      <c r="W6" s="32">
        <v>1175</v>
      </c>
      <c r="X6" s="31">
        <f>V6*W6/100</f>
        <v>6345</v>
      </c>
      <c r="Y6" s="30">
        <f>X6/10000</f>
        <v>0.63449999999999995</v>
      </c>
      <c r="Z6" s="22"/>
      <c r="AA6" s="30"/>
      <c r="AB6" s="30"/>
      <c r="AC6" s="30"/>
      <c r="AD6" s="22"/>
    </row>
    <row r="7" spans="2:30" x14ac:dyDescent="0.25">
      <c r="C7" s="22"/>
      <c r="E7" s="22"/>
      <c r="J7" s="22"/>
      <c r="N7" s="22"/>
      <c r="P7" s="21"/>
      <c r="Q7" s="21"/>
      <c r="R7" s="22"/>
      <c r="S7" s="21"/>
      <c r="T7" s="21"/>
      <c r="U7" s="22"/>
      <c r="X7" s="20"/>
      <c r="Z7" s="22"/>
      <c r="AA7" s="21"/>
      <c r="AB7" s="21"/>
      <c r="AC7" s="21"/>
      <c r="AD7" s="22"/>
    </row>
    <row r="8" spans="2:30" x14ac:dyDescent="0.25">
      <c r="B8" s="29" t="s">
        <v>116</v>
      </c>
      <c r="C8" s="22"/>
      <c r="D8" s="29">
        <v>100</v>
      </c>
      <c r="E8" s="22"/>
      <c r="F8" s="29">
        <v>169</v>
      </c>
      <c r="G8" s="29">
        <v>78</v>
      </c>
      <c r="H8" s="29"/>
      <c r="I8" s="28">
        <f>F8*G8/100</f>
        <v>131.82</v>
      </c>
      <c r="J8" s="22"/>
      <c r="K8" s="29">
        <v>3</v>
      </c>
      <c r="L8" s="29">
        <v>10</v>
      </c>
      <c r="M8" s="29">
        <f>K8*L8</f>
        <v>30</v>
      </c>
      <c r="N8" s="22"/>
      <c r="O8" s="28">
        <f>I8*M8</f>
        <v>3954.6</v>
      </c>
      <c r="P8" s="27">
        <f>O8/10000</f>
        <v>0.39545999999999998</v>
      </c>
      <c r="Q8" s="27">
        <f>D8/(O8/1000)</f>
        <v>25.287007535528243</v>
      </c>
      <c r="R8" s="22"/>
      <c r="S8" s="27">
        <f>D8*18/Q8</f>
        <v>71.1828</v>
      </c>
      <c r="T8" s="27">
        <f>S8*0.76</f>
        <v>54.098928000000001</v>
      </c>
      <c r="U8" s="22"/>
      <c r="V8" s="29">
        <v>565</v>
      </c>
      <c r="W8" s="29">
        <v>974</v>
      </c>
      <c r="X8" s="28">
        <f>V8*W8/100</f>
        <v>5503.1</v>
      </c>
      <c r="Y8" s="27">
        <f>X8/10000</f>
        <v>0.55031000000000008</v>
      </c>
      <c r="Z8" s="22"/>
      <c r="AA8" s="27"/>
      <c r="AB8" s="27"/>
      <c r="AC8" s="27"/>
      <c r="AD8" s="22"/>
    </row>
    <row r="9" spans="2:30" x14ac:dyDescent="0.25">
      <c r="B9" s="29" t="s">
        <v>115</v>
      </c>
      <c r="C9" s="22"/>
      <c r="D9" s="29">
        <v>100</v>
      </c>
      <c r="E9" s="22"/>
      <c r="F9" s="29">
        <v>182</v>
      </c>
      <c r="G9" s="29">
        <v>91</v>
      </c>
      <c r="H9" s="29"/>
      <c r="I9" s="28">
        <f>F9*G9/100</f>
        <v>165.62</v>
      </c>
      <c r="J9" s="22"/>
      <c r="K9" s="29">
        <v>3</v>
      </c>
      <c r="L9" s="29">
        <v>10</v>
      </c>
      <c r="M9" s="29">
        <f>K9*L9</f>
        <v>30</v>
      </c>
      <c r="N9" s="22"/>
      <c r="O9" s="28">
        <f>I9*M9</f>
        <v>4968.6000000000004</v>
      </c>
      <c r="P9" s="27">
        <f>O9/10000</f>
        <v>0.49686000000000002</v>
      </c>
      <c r="Q9" s="27">
        <f>D9/(O9/1000)</f>
        <v>20.126393752767378</v>
      </c>
      <c r="R9" s="22"/>
      <c r="S9" s="27">
        <f>D9*18/Q9</f>
        <v>89.43480000000001</v>
      </c>
      <c r="T9" s="27">
        <f>S9*0.76</f>
        <v>67.970448000000005</v>
      </c>
      <c r="U9" s="22"/>
      <c r="V9" s="29">
        <v>565</v>
      </c>
      <c r="W9" s="29">
        <v>974</v>
      </c>
      <c r="X9" s="28">
        <f>V9*W9/100</f>
        <v>5503.1</v>
      </c>
      <c r="Y9" s="27">
        <f>X9/10000</f>
        <v>0.55031000000000008</v>
      </c>
      <c r="Z9" s="22"/>
      <c r="AA9" s="27"/>
      <c r="AB9" s="27"/>
      <c r="AC9" s="27"/>
      <c r="AD9" s="22"/>
    </row>
    <row r="10" spans="2:30" x14ac:dyDescent="0.25">
      <c r="C10" s="22"/>
      <c r="E10" s="22"/>
      <c r="J10" s="22"/>
      <c r="N10" s="22"/>
      <c r="P10" s="21"/>
      <c r="Q10" s="21"/>
      <c r="R10" s="22"/>
      <c r="S10" s="21"/>
      <c r="T10" s="21"/>
      <c r="U10" s="22"/>
      <c r="X10" s="20"/>
      <c r="Z10" s="22"/>
      <c r="AA10" s="21"/>
      <c r="AB10" s="21"/>
      <c r="AC10" s="21"/>
      <c r="AD10" s="22"/>
    </row>
    <row r="11" spans="2:30" x14ac:dyDescent="0.25">
      <c r="B11" s="26" t="s">
        <v>114</v>
      </c>
      <c r="C11" s="22"/>
      <c r="D11" s="26">
        <v>100</v>
      </c>
      <c r="E11" s="22"/>
      <c r="F11" s="25">
        <v>182</v>
      </c>
      <c r="G11" s="25">
        <v>79</v>
      </c>
      <c r="H11" s="25">
        <f>12*12</f>
        <v>144</v>
      </c>
      <c r="I11" s="25">
        <f>F11*G11/100-H11/100</f>
        <v>142.34</v>
      </c>
      <c r="J11" s="22"/>
      <c r="K11" s="26">
        <v>3</v>
      </c>
      <c r="L11" s="26">
        <v>11</v>
      </c>
      <c r="M11" s="26">
        <f>K11*L11</f>
        <v>33</v>
      </c>
      <c r="N11" s="22"/>
      <c r="O11" s="25">
        <f>I11*M11</f>
        <v>4697.22</v>
      </c>
      <c r="P11" s="24">
        <f>O11/10000</f>
        <v>0.46972200000000003</v>
      </c>
      <c r="Q11" s="24">
        <f>D11/(O11/1000)</f>
        <v>21.289188072945272</v>
      </c>
      <c r="R11" s="22"/>
      <c r="S11" s="24">
        <f>D11*18/Q11</f>
        <v>84.549960000000013</v>
      </c>
      <c r="T11" s="24">
        <f>S11*0.76</f>
        <v>64.25796960000001</v>
      </c>
      <c r="U11" s="22"/>
      <c r="V11" s="26">
        <v>585</v>
      </c>
      <c r="W11" s="26">
        <v>895</v>
      </c>
      <c r="X11" s="25">
        <f>V11*W11/100</f>
        <v>5235.75</v>
      </c>
      <c r="Y11" s="24">
        <f>X11/10000</f>
        <v>0.52357500000000001</v>
      </c>
      <c r="Z11" s="22"/>
      <c r="AA11" s="24"/>
      <c r="AB11" s="24"/>
      <c r="AC11" s="24"/>
      <c r="AD11" s="22"/>
    </row>
    <row r="12" spans="2:30" x14ac:dyDescent="0.25">
      <c r="C12" s="22"/>
      <c r="E12" s="22"/>
      <c r="J12" s="22"/>
      <c r="N12" s="22"/>
      <c r="R12" s="22"/>
      <c r="U12" s="22"/>
      <c r="X12" s="20"/>
      <c r="Z12" s="22"/>
      <c r="AD12" s="22"/>
    </row>
    <row r="13" spans="2:30" x14ac:dyDescent="0.25">
      <c r="C13" s="22"/>
      <c r="E13" s="22"/>
      <c r="J13" s="22"/>
      <c r="N13" s="22"/>
      <c r="O13" s="23"/>
      <c r="R13" s="22"/>
      <c r="U13" s="22"/>
      <c r="X13" s="20"/>
      <c r="Z13" s="22"/>
      <c r="AD13" s="22"/>
    </row>
    <row r="14" spans="2:30" x14ac:dyDescent="0.25">
      <c r="C14" s="22"/>
      <c r="E14" s="22"/>
      <c r="J14" s="22"/>
      <c r="N14" s="22"/>
      <c r="R14" s="22"/>
      <c r="U14" s="22"/>
      <c r="X14" s="20"/>
      <c r="Z14" s="22"/>
      <c r="AD14" s="22"/>
    </row>
    <row r="26" ht="19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F8EF-F077-E542-8DA8-D6451D4532F6}">
  <dimension ref="B2:H28"/>
  <sheetViews>
    <sheetView workbookViewId="0">
      <selection activeCell="K16" sqref="K16"/>
    </sheetView>
  </sheetViews>
  <sheetFormatPr baseColWidth="10" defaultRowHeight="21" x14ac:dyDescent="0.25"/>
  <cols>
    <col min="1" max="1" width="4.375" customWidth="1"/>
    <col min="5" max="5" width="3" customWidth="1"/>
    <col min="11" max="11" width="14.75" customWidth="1"/>
  </cols>
  <sheetData>
    <row r="2" spans="2:8" x14ac:dyDescent="0.25">
      <c r="C2" t="s">
        <v>223</v>
      </c>
    </row>
    <row r="4" spans="2:8" x14ac:dyDescent="0.25">
      <c r="B4" s="42" t="s">
        <v>157</v>
      </c>
      <c r="C4" s="42" t="s">
        <v>156</v>
      </c>
      <c r="D4" s="42" t="s">
        <v>155</v>
      </c>
    </row>
    <row r="5" spans="2:8" x14ac:dyDescent="0.25">
      <c r="B5">
        <v>5</v>
      </c>
      <c r="C5" s="41">
        <v>309</v>
      </c>
      <c r="D5" s="39">
        <f t="shared" ref="D5:D11" si="0">C5*B5</f>
        <v>1545</v>
      </c>
      <c r="E5" s="39"/>
      <c r="F5" t="s">
        <v>154</v>
      </c>
      <c r="H5" t="s">
        <v>153</v>
      </c>
    </row>
    <row r="6" spans="2:8" x14ac:dyDescent="0.25">
      <c r="B6">
        <v>1</v>
      </c>
      <c r="C6" s="41">
        <v>16</v>
      </c>
      <c r="D6" s="39">
        <f t="shared" si="0"/>
        <v>16</v>
      </c>
      <c r="E6" s="39"/>
      <c r="F6" t="s">
        <v>152</v>
      </c>
    </row>
    <row r="7" spans="2:8" x14ac:dyDescent="0.25">
      <c r="B7">
        <v>1</v>
      </c>
      <c r="C7" s="41">
        <v>180</v>
      </c>
      <c r="D7" s="39">
        <f t="shared" si="0"/>
        <v>180</v>
      </c>
      <c r="E7" s="39"/>
      <c r="F7" t="s">
        <v>151</v>
      </c>
    </row>
    <row r="8" spans="2:8" x14ac:dyDescent="0.25">
      <c r="B8">
        <v>2</v>
      </c>
      <c r="C8" s="41">
        <v>22</v>
      </c>
      <c r="D8" s="39">
        <f t="shared" si="0"/>
        <v>44</v>
      </c>
      <c r="E8" s="39"/>
      <c r="F8" t="s">
        <v>150</v>
      </c>
    </row>
    <row r="9" spans="2:8" x14ac:dyDescent="0.25">
      <c r="B9">
        <v>1</v>
      </c>
      <c r="C9" s="41">
        <v>13</v>
      </c>
      <c r="D9" s="39">
        <f t="shared" si="0"/>
        <v>13</v>
      </c>
      <c r="E9" s="39"/>
      <c r="F9" t="s">
        <v>149</v>
      </c>
    </row>
    <row r="10" spans="2:8" x14ac:dyDescent="0.25">
      <c r="B10">
        <v>1</v>
      </c>
      <c r="C10" s="41">
        <v>15</v>
      </c>
      <c r="D10" s="39">
        <f t="shared" si="0"/>
        <v>15</v>
      </c>
      <c r="E10" s="39"/>
      <c r="F10" t="s">
        <v>148</v>
      </c>
    </row>
    <row r="11" spans="2:8" x14ac:dyDescent="0.25">
      <c r="B11">
        <v>1</v>
      </c>
      <c r="C11" s="41">
        <v>9</v>
      </c>
      <c r="D11" s="39">
        <f t="shared" si="0"/>
        <v>9</v>
      </c>
      <c r="E11" s="39"/>
      <c r="F11" t="s">
        <v>147</v>
      </c>
    </row>
    <row r="12" spans="2:8" x14ac:dyDescent="0.25">
      <c r="D12" s="39"/>
      <c r="E12" s="39"/>
    </row>
    <row r="13" spans="2:8" x14ac:dyDescent="0.25">
      <c r="D13" s="39">
        <f>SUM(D5:D12)</f>
        <v>1822</v>
      </c>
      <c r="E13" s="39"/>
      <c r="F13" t="s">
        <v>146</v>
      </c>
    </row>
    <row r="16" spans="2:8" x14ac:dyDescent="0.25">
      <c r="C16" t="s">
        <v>224</v>
      </c>
    </row>
    <row r="19" spans="2:6" x14ac:dyDescent="0.25">
      <c r="B19">
        <v>3</v>
      </c>
      <c r="C19" s="39">
        <v>270</v>
      </c>
      <c r="D19" s="39">
        <f t="shared" ref="D19:D26" si="1">C19*B19</f>
        <v>810</v>
      </c>
      <c r="F19" s="40" t="s">
        <v>145</v>
      </c>
    </row>
    <row r="20" spans="2:6" x14ac:dyDescent="0.25">
      <c r="B20">
        <v>4.5</v>
      </c>
      <c r="C20">
        <v>8</v>
      </c>
      <c r="D20" s="39">
        <f t="shared" si="1"/>
        <v>36</v>
      </c>
      <c r="F20" t="s">
        <v>144</v>
      </c>
    </row>
    <row r="21" spans="2:6" x14ac:dyDescent="0.25">
      <c r="B21">
        <v>6</v>
      </c>
      <c r="C21">
        <v>8</v>
      </c>
      <c r="D21" s="39">
        <f t="shared" si="1"/>
        <v>48</v>
      </c>
      <c r="F21" t="s">
        <v>143</v>
      </c>
    </row>
    <row r="22" spans="2:6" x14ac:dyDescent="0.25">
      <c r="B22">
        <v>1.5</v>
      </c>
      <c r="C22">
        <v>8</v>
      </c>
      <c r="D22" s="39">
        <f t="shared" si="1"/>
        <v>12</v>
      </c>
      <c r="F22" t="s">
        <v>142</v>
      </c>
    </row>
    <row r="23" spans="2:6" x14ac:dyDescent="0.25">
      <c r="B23">
        <v>1</v>
      </c>
      <c r="C23">
        <v>8</v>
      </c>
      <c r="D23" s="39">
        <f t="shared" si="1"/>
        <v>8</v>
      </c>
      <c r="F23" s="40" t="s">
        <v>141</v>
      </c>
    </row>
    <row r="24" spans="2:6" x14ac:dyDescent="0.25">
      <c r="B24">
        <v>1</v>
      </c>
      <c r="C24">
        <v>8</v>
      </c>
      <c r="D24" s="39">
        <f t="shared" si="1"/>
        <v>8</v>
      </c>
      <c r="F24" s="40" t="s">
        <v>140</v>
      </c>
    </row>
    <row r="25" spans="2:6" x14ac:dyDescent="0.25">
      <c r="B25">
        <v>1</v>
      </c>
      <c r="C25">
        <v>8</v>
      </c>
      <c r="D25" s="39">
        <f t="shared" si="1"/>
        <v>8</v>
      </c>
      <c r="F25" s="40" t="s">
        <v>139</v>
      </c>
    </row>
    <row r="26" spans="2:6" x14ac:dyDescent="0.25">
      <c r="B26">
        <v>1</v>
      </c>
      <c r="C26">
        <v>8</v>
      </c>
      <c r="D26" s="39">
        <f t="shared" si="1"/>
        <v>8</v>
      </c>
      <c r="F26" s="40" t="s">
        <v>138</v>
      </c>
    </row>
    <row r="28" spans="2:6" x14ac:dyDescent="0.25">
      <c r="D28" s="39">
        <f>SUM(D19:D27)</f>
        <v>938</v>
      </c>
    </row>
  </sheetData>
  <hyperlinks>
    <hyperlink ref="F25" r:id="rId1" display="stainless nuts" xr:uid="{67E2CCB0-0DF4-EC46-A6AC-C53F24976CFF}"/>
    <hyperlink ref="F26" r:id="rId2" display="wire ties" xr:uid="{0F92BD88-07F1-1849-A14C-78F35B096D91}"/>
    <hyperlink ref="F24" r:id="rId3" display="30pcs #10-24 3/4&quot; stainless bolts" xr:uid="{1D7038B3-3FCE-134B-AEF6-FDEAA6E14523}"/>
    <hyperlink ref="F23" r:id="rId4" display="pcs" xr:uid="{598C5318-B3A1-E548-AEEA-CBD5D48B99D4}"/>
    <hyperlink ref="F19" r:id="rId5" xr:uid="{FECAB5EE-8507-EA4B-8C24-3D91698C627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5CAB-36BD-EE40-8EA6-052839951D3C}">
  <dimension ref="B2:M13"/>
  <sheetViews>
    <sheetView workbookViewId="0">
      <selection activeCell="E14" sqref="E14"/>
    </sheetView>
  </sheetViews>
  <sheetFormatPr baseColWidth="10" defaultRowHeight="21" x14ac:dyDescent="0.25"/>
  <cols>
    <col min="1" max="1" width="2.625" style="9" customWidth="1"/>
    <col min="2" max="3" width="16.625" style="9" customWidth="1"/>
    <col min="4" max="4" width="2.625" style="9" customWidth="1"/>
    <col min="5" max="9" width="10.625" style="9"/>
    <col min="10" max="11" width="12.625" style="9" customWidth="1"/>
    <col min="12" max="12" width="13.125" style="9" customWidth="1"/>
    <col min="13" max="13" width="12.625" style="9" customWidth="1"/>
    <col min="14" max="16384" width="10.625" style="9"/>
  </cols>
  <sheetData>
    <row r="2" spans="2:13" x14ac:dyDescent="0.25">
      <c r="B2" s="9" t="s">
        <v>229</v>
      </c>
      <c r="C2" s="9" t="s">
        <v>126</v>
      </c>
      <c r="E2" s="9" t="s">
        <v>230</v>
      </c>
      <c r="F2" s="9" t="s">
        <v>231</v>
      </c>
      <c r="G2" s="9" t="s">
        <v>232</v>
      </c>
      <c r="I2" s="9" t="s">
        <v>233</v>
      </c>
      <c r="J2" s="9" t="s">
        <v>234</v>
      </c>
      <c r="K2" s="9" t="s">
        <v>236</v>
      </c>
      <c r="L2" s="9" t="s">
        <v>235</v>
      </c>
      <c r="M2" s="9" t="s">
        <v>237</v>
      </c>
    </row>
    <row r="4" spans="2:13" x14ac:dyDescent="0.25">
      <c r="B4" s="7" t="s">
        <v>226</v>
      </c>
      <c r="C4" s="7" t="s">
        <v>238</v>
      </c>
      <c r="E4" s="7" t="s">
        <v>227</v>
      </c>
      <c r="F4" s="9">
        <v>540</v>
      </c>
      <c r="G4" s="9">
        <f>F4*4</f>
        <v>2160</v>
      </c>
      <c r="I4" s="20">
        <f>8*12*25.4</f>
        <v>2438.3999999999996</v>
      </c>
      <c r="J4" s="20">
        <f>(0.5+42.5+0.5+42.5+0.5)*25.4</f>
        <v>2197.1</v>
      </c>
      <c r="K4" s="20">
        <f>(0.5+42.5+0.5+42.5+0.5+9.25+0.25)*25.4</f>
        <v>2438.3999999999996</v>
      </c>
      <c r="L4" s="55">
        <f>J4-G4</f>
        <v>37.099999999999909</v>
      </c>
      <c r="M4" s="20">
        <f>K4-G4</f>
        <v>278.39999999999964</v>
      </c>
    </row>
    <row r="5" spans="2:13" x14ac:dyDescent="0.25">
      <c r="I5" s="20"/>
      <c r="J5" s="20"/>
    </row>
    <row r="6" spans="2:13" x14ac:dyDescent="0.25">
      <c r="B6" s="7" t="s">
        <v>225</v>
      </c>
      <c r="C6" s="7" t="s">
        <v>239</v>
      </c>
      <c r="E6" s="7" t="s">
        <v>228</v>
      </c>
      <c r="F6" s="9">
        <v>565</v>
      </c>
      <c r="G6" s="9">
        <f>F6*4</f>
        <v>2260</v>
      </c>
      <c r="I6" s="20">
        <f>8*12*25.4</f>
        <v>2438.3999999999996</v>
      </c>
      <c r="J6" s="20">
        <f>(0.5+42.5+0.5+42.5+0.5)*25.4</f>
        <v>2197.1</v>
      </c>
      <c r="K6" s="20">
        <f>(0.5+42.5+0.5+42.5+0.5+9.25+0.25)*25.4</f>
        <v>2438.3999999999996</v>
      </c>
      <c r="L6" s="56">
        <f>J6-G6</f>
        <v>-62.900000000000091</v>
      </c>
      <c r="M6" s="20">
        <f>K6-G6</f>
        <v>178.39999999999964</v>
      </c>
    </row>
    <row r="7" spans="2:13" x14ac:dyDescent="0.25">
      <c r="I7" s="20"/>
      <c r="J7" s="20"/>
    </row>
    <row r="8" spans="2:13" x14ac:dyDescent="0.25">
      <c r="F8" s="57"/>
      <c r="J8" s="21"/>
    </row>
    <row r="9" spans="2:13" x14ac:dyDescent="0.25">
      <c r="E9" s="43">
        <f>(E4-E6)/2/25.6</f>
        <v>4.1015625</v>
      </c>
      <c r="F9" s="57" t="s">
        <v>240</v>
      </c>
    </row>
    <row r="10" spans="2:13" x14ac:dyDescent="0.25">
      <c r="F10" s="57"/>
    </row>
    <row r="11" spans="2:13" x14ac:dyDescent="0.25">
      <c r="E11" s="20">
        <f>(4*12-2)*25.4</f>
        <v>1168.3999999999999</v>
      </c>
      <c r="F11" s="57" t="s">
        <v>241</v>
      </c>
    </row>
    <row r="12" spans="2:13" x14ac:dyDescent="0.25">
      <c r="E12" s="20"/>
      <c r="F12" s="57"/>
    </row>
    <row r="13" spans="2:13" x14ac:dyDescent="0.25">
      <c r="E13" s="20">
        <f>E11-E4</f>
        <v>-11.600000000000136</v>
      </c>
      <c r="F13" s="57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9C5F-89F6-B74C-981D-628672A4AA52}">
  <dimension ref="B2:J31"/>
  <sheetViews>
    <sheetView workbookViewId="0">
      <selection activeCell="F17" sqref="F17"/>
    </sheetView>
  </sheetViews>
  <sheetFormatPr baseColWidth="10" defaultRowHeight="21" x14ac:dyDescent="0.25"/>
  <cols>
    <col min="2" max="2" width="17.375" customWidth="1"/>
  </cols>
  <sheetData>
    <row r="2" spans="2:10" x14ac:dyDescent="0.25">
      <c r="B2" t="s">
        <v>189</v>
      </c>
    </row>
    <row r="4" spans="2:10" x14ac:dyDescent="0.25">
      <c r="C4" s="3" t="s">
        <v>188</v>
      </c>
      <c r="D4" s="3" t="s">
        <v>187</v>
      </c>
      <c r="E4" s="3" t="s">
        <v>186</v>
      </c>
      <c r="F4" s="3" t="s">
        <v>185</v>
      </c>
      <c r="G4" s="3" t="s">
        <v>184</v>
      </c>
    </row>
    <row r="5" spans="2:10" x14ac:dyDescent="0.25">
      <c r="B5" t="s">
        <v>183</v>
      </c>
      <c r="C5" s="9">
        <v>21</v>
      </c>
      <c r="D5" s="9"/>
      <c r="E5" s="9"/>
      <c r="F5" s="9"/>
      <c r="G5" s="9"/>
      <c r="I5" t="s">
        <v>182</v>
      </c>
      <c r="J5" s="20">
        <v>60</v>
      </c>
    </row>
    <row r="6" spans="2:10" x14ac:dyDescent="0.25">
      <c r="B6" t="s">
        <v>181</v>
      </c>
      <c r="C6" s="9">
        <v>124</v>
      </c>
      <c r="D6" s="45">
        <f>C5*C6</f>
        <v>2604</v>
      </c>
      <c r="E6" s="23">
        <f>D6/1000000</f>
        <v>2.604E-3</v>
      </c>
      <c r="F6" s="23">
        <f>E6*10.7639</f>
        <v>2.8029195599999997E-2</v>
      </c>
      <c r="G6" s="20">
        <f>D6/10/10</f>
        <v>26.04</v>
      </c>
      <c r="I6" t="s">
        <v>180</v>
      </c>
      <c r="J6" s="20">
        <f>J5*0.76</f>
        <v>45.6</v>
      </c>
    </row>
    <row r="7" spans="2:10" x14ac:dyDescent="0.25">
      <c r="B7" t="s">
        <v>179</v>
      </c>
      <c r="C7" s="9">
        <v>12</v>
      </c>
      <c r="D7" s="45">
        <f>D6*C7</f>
        <v>31248</v>
      </c>
      <c r="E7" s="23">
        <f>D7/1000000</f>
        <v>3.1248000000000001E-2</v>
      </c>
      <c r="F7" s="23">
        <f>E7*10.7639</f>
        <v>0.33635034720000001</v>
      </c>
      <c r="G7" s="20">
        <f>D7/10/10</f>
        <v>312.48</v>
      </c>
    </row>
    <row r="8" spans="2:10" x14ac:dyDescent="0.25">
      <c r="B8" t="s">
        <v>178</v>
      </c>
      <c r="C8" s="9">
        <v>9</v>
      </c>
      <c r="D8" s="45">
        <f>D7*C8</f>
        <v>281232</v>
      </c>
      <c r="E8" s="23">
        <f>D8/1000000</f>
        <v>0.28123199999999998</v>
      </c>
      <c r="F8" s="23">
        <f>E8*10.7639</f>
        <v>3.0271531247999999</v>
      </c>
      <c r="G8" s="20">
        <f>D8/10/10</f>
        <v>2812.32</v>
      </c>
    </row>
    <row r="10" spans="2:10" x14ac:dyDescent="0.25">
      <c r="B10" t="s">
        <v>177</v>
      </c>
      <c r="C10" s="43">
        <f>J5/C8</f>
        <v>6.666666666666667</v>
      </c>
    </row>
    <row r="11" spans="2:10" x14ac:dyDescent="0.25">
      <c r="B11" t="s">
        <v>176</v>
      </c>
      <c r="C11" s="43">
        <f>J6/C8</f>
        <v>5.0666666666666664</v>
      </c>
    </row>
    <row r="14" spans="2:10" x14ac:dyDescent="0.25">
      <c r="B14" t="s">
        <v>175</v>
      </c>
    </row>
    <row r="16" spans="2:10" x14ac:dyDescent="0.25">
      <c r="C16" s="3" t="s">
        <v>174</v>
      </c>
      <c r="D16" s="3" t="s">
        <v>173</v>
      </c>
    </row>
    <row r="17" spans="2:7" x14ac:dyDescent="0.25">
      <c r="B17" t="s">
        <v>172</v>
      </c>
      <c r="C17" s="9">
        <v>4.5</v>
      </c>
      <c r="D17" s="20">
        <f>C17*2.54</f>
        <v>11.43</v>
      </c>
    </row>
    <row r="18" spans="2:7" x14ac:dyDescent="0.25">
      <c r="B18" t="s">
        <v>171</v>
      </c>
      <c r="C18" s="9">
        <v>0.32500000000000001</v>
      </c>
      <c r="D18" s="21">
        <f>C18*2.54</f>
        <v>0.82550000000000001</v>
      </c>
    </row>
    <row r="19" spans="2:7" x14ac:dyDescent="0.25">
      <c r="B19" t="s">
        <v>170</v>
      </c>
      <c r="C19" s="9">
        <f>C17*C17</f>
        <v>20.25</v>
      </c>
      <c r="D19" s="20">
        <f>C19*2.54*2.54</f>
        <v>130.64490000000001</v>
      </c>
    </row>
    <row r="20" spans="2:7" x14ac:dyDescent="0.25">
      <c r="B20" t="s">
        <v>169</v>
      </c>
      <c r="C20" s="21">
        <f>C18*C18*2</f>
        <v>0.21125000000000002</v>
      </c>
      <c r="D20" s="43">
        <f>C20*2.54*2.54</f>
        <v>1.3629005000000001</v>
      </c>
    </row>
    <row r="21" spans="2:7" x14ac:dyDescent="0.25">
      <c r="B21" t="s">
        <v>168</v>
      </c>
      <c r="C21" s="43">
        <f>C19-C20</f>
        <v>20.03875</v>
      </c>
      <c r="D21" s="20">
        <f>C21*2.54*2.54</f>
        <v>129.28199950000001</v>
      </c>
      <c r="F21" s="44">
        <f>G8/D21</f>
        <v>21.753376424225245</v>
      </c>
      <c r="G21" t="s">
        <v>167</v>
      </c>
    </row>
    <row r="22" spans="2:7" x14ac:dyDescent="0.25">
      <c r="C22" s="9"/>
      <c r="D22" s="9"/>
      <c r="F22" s="44">
        <f>F21*C27</f>
        <v>60.426045622847901</v>
      </c>
      <c r="G22" t="s">
        <v>166</v>
      </c>
    </row>
    <row r="23" spans="2:7" x14ac:dyDescent="0.25">
      <c r="B23" t="s">
        <v>126</v>
      </c>
      <c r="C23" s="9">
        <v>36</v>
      </c>
      <c r="D23" s="9"/>
      <c r="F23" s="44">
        <f>F21*C28</f>
        <v>45.923794673364405</v>
      </c>
      <c r="G23" t="s">
        <v>165</v>
      </c>
    </row>
    <row r="24" spans="2:7" x14ac:dyDescent="0.25">
      <c r="B24" t="s">
        <v>164</v>
      </c>
      <c r="C24" s="9">
        <v>100</v>
      </c>
      <c r="D24" s="9"/>
    </row>
    <row r="25" spans="2:7" x14ac:dyDescent="0.25">
      <c r="B25" t="s">
        <v>163</v>
      </c>
      <c r="C25" s="9">
        <v>76</v>
      </c>
      <c r="D25" s="9"/>
      <c r="F25" t="s">
        <v>162</v>
      </c>
    </row>
    <row r="26" spans="2:7" x14ac:dyDescent="0.25">
      <c r="C26" s="9"/>
      <c r="D26" s="9"/>
    </row>
    <row r="27" spans="2:7" x14ac:dyDescent="0.25">
      <c r="B27" t="s">
        <v>161</v>
      </c>
      <c r="C27" s="43">
        <f>C24/C23</f>
        <v>2.7777777777777777</v>
      </c>
      <c r="D27" s="9"/>
    </row>
    <row r="28" spans="2:7" x14ac:dyDescent="0.25">
      <c r="B28" t="s">
        <v>160</v>
      </c>
      <c r="C28" s="43">
        <f>C25/C23</f>
        <v>2.1111111111111112</v>
      </c>
      <c r="D28" s="9"/>
    </row>
    <row r="29" spans="2:7" x14ac:dyDescent="0.25">
      <c r="C29" s="9"/>
      <c r="D29" s="9"/>
    </row>
    <row r="30" spans="2:7" x14ac:dyDescent="0.25">
      <c r="B30" t="s">
        <v>159</v>
      </c>
      <c r="C30" s="20">
        <f>D21/C27</f>
        <v>46.541519820000005</v>
      </c>
      <c r="D30" s="9"/>
    </row>
    <row r="31" spans="2:7" x14ac:dyDescent="0.25">
      <c r="B31" t="s">
        <v>158</v>
      </c>
      <c r="C31" s="20">
        <f>D21/C28</f>
        <v>61.238841868421055</v>
      </c>
      <c r="D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panels</vt:lpstr>
      <vt:lpstr>tests</vt:lpstr>
      <vt:lpstr>Dokio Frames</vt:lpstr>
      <vt:lpstr>Frame Sizing</vt:lpstr>
      <vt:lpstr>Suaoki 60w wallet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2024-12-05T01:42:44Z</dcterms:created>
  <dcterms:modified xsi:type="dcterms:W3CDTF">2024-12-29T00:45:35Z</dcterms:modified>
</cp:coreProperties>
</file>