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166925"/>
  <mc:AlternateContent xmlns:mc="http://schemas.openxmlformats.org/markup-compatibility/2006">
    <mc:Choice Requires="x15">
      <x15ac:absPath xmlns:x15ac="http://schemas.microsoft.com/office/spreadsheetml/2010/11/ac" url="/Users/nfisher/DATA_XFER/www/N0ZYC/power/wire resources/"/>
    </mc:Choice>
  </mc:AlternateContent>
  <xr:revisionPtr revIDLastSave="0" documentId="13_ncr:1_{3D04AFCC-CD51-2546-9D42-FD2184E665C2}" xr6:coauthVersionLast="47" xr6:coauthVersionMax="47" xr10:uidLastSave="{00000000-0000-0000-0000-000000000000}"/>
  <bookViews>
    <workbookView minimized="1" xWindow="0" yWindow="500" windowWidth="40960" windowHeight="20960" xr2:uid="{00000000-000D-0000-FFFF-FFFF00000000}"/>
  </bookViews>
  <sheets>
    <sheet name="wire specs" sheetId="1" r:id="rId1"/>
    <sheet name="wire testing" sheetId="18" r:id="rId2"/>
    <sheet name="solar dist" sheetId="2" r:id="rId3"/>
    <sheet name="charge dist" sheetId="3" r:id="rId4"/>
    <sheet name="charging (dist lines)" sheetId="4" r:id="rId5"/>
    <sheet name="charging (gauge)" sheetId="5" r:id="rId6"/>
    <sheet name="charging (length)" sheetId="6" r:id="rId7"/>
    <sheet name="charging (res)" sheetId="16" r:id="rId8"/>
    <sheet name="predictions" sheetId="7" r:id="rId9"/>
    <sheet name="CU vs CCA" sheetId="8" r:id="rId10"/>
    <sheet name="adaptive loads" sheetId="9" r:id="rId11"/>
    <sheet name="comparisons" sheetId="11" r:id="rId12"/>
    <sheet name="spool weights" sheetId="12" r:id="rId13"/>
    <sheet name="panels" sheetId="13" r:id="rId14"/>
    <sheet name="tables" sheetId="14" r:id="rId15"/>
    <sheet name="drops" sheetId="17" r:id="rId16"/>
    <sheet name="e00eb4de3c8a421cba9b8f4cb8546ec" sheetId="15" state="veryHidden" r:id="rId17"/>
  </sheets>
  <definedNames>
    <definedName name="ampacity">tables!$B$43:$H$86</definedName>
    <definedName name="cdl_volts">'charging (dist lines)'!$C$5</definedName>
    <definedName name="cg_ohmsperfoot">'charging (gauge)'!$D$6</definedName>
    <definedName name="cg_volts">'charging (gauge)'!$C$5</definedName>
    <definedName name="combiner_choices">tables!$J$4:$J$6</definedName>
    <definedName name="comp_cd_volts">comparisons!$C$29</definedName>
    <definedName name="comp_cd_watts">comparisons!$C$28</definedName>
    <definedName name="comp_cs_volts">comparisons!$C$53</definedName>
    <definedName name="comp_cs_watts">comparisons!$C$52</definedName>
    <definedName name="comp_pr_ohms">comparisons!$C$5</definedName>
    <definedName name="comp_pr_volts">comparisons!$C$6</definedName>
    <definedName name="copper_kg_per_cu_meter">tables!$L$9</definedName>
    <definedName name="copper_wire_choices">tables!$J$18:$J$31</definedName>
    <definedName name="copper_wire_table">tables!$J$18:$V$31</definedName>
    <definedName name="cost_4fths">tables!$O$9</definedName>
    <definedName name="cost_ft10ccu">tables!$O$13</definedName>
    <definedName name="cost_pp30">tables!$O$4</definedName>
    <definedName name="cost_pp30whs">tables!$O$11</definedName>
    <definedName name="cost_pphs">tables!$O$5</definedName>
    <definedName name="cost_reel">tables!$O$7</definedName>
    <definedName name="cost_reelwadapt">tables!$O$12</definedName>
    <definedName name="cost_sb50">tables!$O$6</definedName>
    <definedName name="cost_sb50ends">tables!$O$10</definedName>
    <definedName name="cost_sb50pp30">tables!$O$8</definedName>
    <definedName name="cost_sbpp">tables!$O$8</definedName>
    <definedName name="cost_shrink">tables!$O$5</definedName>
    <definedName name="cr_amps">'charging (res)'!$C$7</definedName>
    <definedName name="cr_bconst">'charging (res)'!$F$2</definedName>
    <definedName name="cr_bconst2">'charging (res)'!$F$3</definedName>
    <definedName name="cr_vf">'charging (res)'!$C$4</definedName>
    <definedName name="cr_volts">'charging (res)'!$C$5</definedName>
    <definedName name="cubicmm_per_cubic_meter">tables!$L$6</definedName>
    <definedName name="distline_choices">tables!$J$36:$J$46</definedName>
    <definedName name="distline_table">tables!$J$36:$W$46</definedName>
    <definedName name="ft_per_km">tables!$L$4</definedName>
    <definedName name="harder" localSheetId="3">LAMBDA(A,B,A)</definedName>
    <definedName name="harder" localSheetId="4">LAMBDA(A,B,A)</definedName>
    <definedName name="harder">LAMBDA(A,B,A)</definedName>
    <definedName name="lbs_per_kg">tables!$L$8</definedName>
    <definedName name="load_amps">'wire specs'!$B$4</definedName>
    <definedName name="load_ohms">'wire specs'!$B$5</definedName>
    <definedName name="load_watts">'wire specs'!$B$6</definedName>
    <definedName name="mm_per_foot">tables!$L$7</definedName>
    <definedName name="mm_per_in">tables!$L$5</definedName>
    <definedName name="panel_choices">tables!$H$4:$H$10</definedName>
    <definedName name="panel_Impp">tables!$B$7</definedName>
    <definedName name="panel_Rmpp">tables!$B$9</definedName>
    <definedName name="panel_selection">'wire specs'!$B$2</definedName>
    <definedName name="panel_table">tables!$D$17:$G$37</definedName>
    <definedName name="panel_Vmpp">tables!$B$6</definedName>
    <definedName name="panel_Voc">tables!$B$4</definedName>
    <definedName name="panel_Wmax">tables!$B$5</definedName>
    <definedName name="panel_Wmpp">tables!$B$8</definedName>
    <definedName name="picked_key">'wire specs'!$N$3</definedName>
    <definedName name="picked_panels">'wire specs'!$N$4</definedName>
    <definedName name="picked_parallel">'wire specs'!$N$5</definedName>
    <definedName name="picked_series">'wire specs'!$N$6</definedName>
    <definedName name="rh_caps">#REF!</definedName>
    <definedName name="rh_dv">#REF!</definedName>
    <definedName name="rh_dw">#REF!</definedName>
    <definedName name="rh_farads">#REF!</definedName>
    <definedName name="rh_feach">#REF!</definedName>
    <definedName name="rh_ohms">#REF!</definedName>
    <definedName name="rh_solar">#REF!</definedName>
    <definedName name="rh_vmax">#REF!</definedName>
    <definedName name="rh_vmin">#REF!</definedName>
    <definedName name="rh_watts">#REF!</definedName>
    <definedName name="short_amps">'adaptive loads'!$C$5</definedName>
    <definedName name="short_feet">'adaptive loads'!$C$9</definedName>
    <definedName name="short_ohms">'adaptive loads'!$C$8</definedName>
    <definedName name="short_volts">'adaptive loads'!$C$6</definedName>
    <definedName name="short_watts">'adaptive loads'!$C$7</definedName>
    <definedName name="supply_volts">'wire specs'!$B$3</definedName>
    <definedName name="tencross">tables!$F$56</definedName>
    <definedName name="tencu1k">tables!$G$56</definedName>
    <definedName name="twin_feet">'wire specs'!$B$10</definedName>
    <definedName name="twinlead_choices">tables!$J$84:$J$89</definedName>
    <definedName name="twinlead_table">tables!$J$84:$P$89</definedName>
    <definedName name="wire_feet">'wire specs'!$B$9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48" i="1" l="1"/>
  <c r="I47" i="1"/>
  <c r="E47" i="1"/>
  <c r="D47" i="1"/>
  <c r="J47" i="1" s="1"/>
  <c r="B9" i="18"/>
  <c r="B8" i="18"/>
  <c r="B7" i="18"/>
  <c r="H28" i="17"/>
  <c r="B19" i="17"/>
  <c r="F27" i="17"/>
  <c r="G27" i="17" s="1"/>
  <c r="F26" i="17"/>
  <c r="F23" i="17"/>
  <c r="G23" i="17" s="1"/>
  <c r="F22" i="17"/>
  <c r="G22" i="17" s="1"/>
  <c r="G26" i="17"/>
  <c r="T30" i="14"/>
  <c r="S30" i="14" s="1"/>
  <c r="Q30" i="14"/>
  <c r="U30" i="14" s="1"/>
  <c r="V30" i="14" s="1"/>
  <c r="P30" i="14"/>
  <c r="N30" i="14"/>
  <c r="M30" i="14"/>
  <c r="L30" i="14" s="1"/>
  <c r="T31" i="14"/>
  <c r="S31" i="14" s="1"/>
  <c r="Q31" i="14"/>
  <c r="U31" i="14" s="1"/>
  <c r="V31" i="14" s="1"/>
  <c r="P31" i="14"/>
  <c r="N31" i="14"/>
  <c r="M31" i="14"/>
  <c r="L31" i="14" s="1"/>
  <c r="I20" i="16"/>
  <c r="H20" i="16"/>
  <c r="G20" i="16"/>
  <c r="F20" i="16"/>
  <c r="E20" i="16"/>
  <c r="D20" i="16"/>
  <c r="I13" i="16"/>
  <c r="H13" i="16"/>
  <c r="G13" i="16"/>
  <c r="F13" i="16"/>
  <c r="E13" i="16"/>
  <c r="D13" i="16"/>
  <c r="I23" i="16"/>
  <c r="H23" i="16"/>
  <c r="G23" i="16"/>
  <c r="F23" i="16"/>
  <c r="E23" i="16"/>
  <c r="D23" i="16"/>
  <c r="I22" i="16"/>
  <c r="H22" i="16"/>
  <c r="G22" i="16"/>
  <c r="F22" i="16"/>
  <c r="E22" i="16"/>
  <c r="D22" i="16"/>
  <c r="I21" i="16"/>
  <c r="H21" i="16"/>
  <c r="G21" i="16"/>
  <c r="F21" i="16"/>
  <c r="E21" i="16"/>
  <c r="D21" i="16"/>
  <c r="I19" i="16"/>
  <c r="H19" i="16"/>
  <c r="G19" i="16"/>
  <c r="F19" i="16"/>
  <c r="E19" i="16"/>
  <c r="D19" i="16"/>
  <c r="I18" i="16"/>
  <c r="H18" i="16"/>
  <c r="G18" i="16"/>
  <c r="F18" i="16"/>
  <c r="E18" i="16"/>
  <c r="D18" i="16"/>
  <c r="I16" i="16"/>
  <c r="H16" i="16"/>
  <c r="G16" i="16"/>
  <c r="F16" i="16"/>
  <c r="E16" i="16"/>
  <c r="D16" i="16"/>
  <c r="I15" i="16"/>
  <c r="H15" i="16"/>
  <c r="G15" i="16"/>
  <c r="F15" i="16"/>
  <c r="E15" i="16"/>
  <c r="D15" i="16"/>
  <c r="I14" i="16"/>
  <c r="H14" i="16"/>
  <c r="G14" i="16"/>
  <c r="F14" i="16"/>
  <c r="E14" i="16"/>
  <c r="D14" i="16"/>
  <c r="I12" i="16"/>
  <c r="H12" i="16"/>
  <c r="G12" i="16"/>
  <c r="F12" i="16"/>
  <c r="E12" i="16"/>
  <c r="D12" i="16"/>
  <c r="I11" i="16"/>
  <c r="H11" i="16"/>
  <c r="G11" i="16"/>
  <c r="F11" i="16"/>
  <c r="E11" i="16"/>
  <c r="D11" i="16"/>
  <c r="C15" i="16"/>
  <c r="C22" i="16" s="1"/>
  <c r="C29" i="16" s="1"/>
  <c r="C36" i="16" s="1"/>
  <c r="C43" i="16" s="1"/>
  <c r="C50" i="16" s="1"/>
  <c r="C57" i="16" s="1"/>
  <c r="C64" i="16" s="1"/>
  <c r="C71" i="16" s="1"/>
  <c r="I6" i="16"/>
  <c r="H6" i="16"/>
  <c r="G6" i="16"/>
  <c r="F6" i="16"/>
  <c r="E6" i="16"/>
  <c r="D6" i="16"/>
  <c r="C23" i="16"/>
  <c r="C30" i="16" s="1"/>
  <c r="C37" i="16" s="1"/>
  <c r="C44" i="16" s="1"/>
  <c r="C51" i="16" s="1"/>
  <c r="C58" i="16" s="1"/>
  <c r="C65" i="16" s="1"/>
  <c r="C72" i="16" s="1"/>
  <c r="D11" i="11"/>
  <c r="E11" i="11"/>
  <c r="C8" i="11"/>
  <c r="L47" i="1" l="1"/>
  <c r="K47" i="1"/>
  <c r="H27" i="17"/>
  <c r="H22" i="17"/>
  <c r="H23" i="17"/>
  <c r="H26" i="17"/>
  <c r="D30" i="16"/>
  <c r="D37" i="16" s="1"/>
  <c r="E30" i="16"/>
  <c r="E37" i="16" s="1"/>
  <c r="F30" i="16"/>
  <c r="F37" i="16" s="1"/>
  <c r="G30" i="16"/>
  <c r="G37" i="16" s="1"/>
  <c r="H30" i="16"/>
  <c r="H37" i="16" s="1"/>
  <c r="I30" i="16"/>
  <c r="I37" i="16" s="1"/>
  <c r="G29" i="16"/>
  <c r="G36" i="16" s="1"/>
  <c r="C14" i="16"/>
  <c r="T29" i="14"/>
  <c r="P29" i="14"/>
  <c r="M29" i="14"/>
  <c r="T28" i="14"/>
  <c r="P28" i="14"/>
  <c r="M28" i="14"/>
  <c r="G26" i="7" s="1"/>
  <c r="T27" i="14"/>
  <c r="S27" i="14" s="1"/>
  <c r="P27" i="14"/>
  <c r="M27" i="14"/>
  <c r="T26" i="14"/>
  <c r="P26" i="14"/>
  <c r="M26" i="14"/>
  <c r="T25" i="14"/>
  <c r="P25" i="14"/>
  <c r="M25" i="14"/>
  <c r="T24" i="14"/>
  <c r="P24" i="14"/>
  <c r="M24" i="14"/>
  <c r="T23" i="14"/>
  <c r="S23" i="14" s="1"/>
  <c r="P23" i="14"/>
  <c r="M23" i="14"/>
  <c r="L23" i="14" s="1"/>
  <c r="T22" i="14"/>
  <c r="P22" i="14"/>
  <c r="M22" i="14"/>
  <c r="K12" i="7" s="1"/>
  <c r="T21" i="14"/>
  <c r="P21" i="14"/>
  <c r="M21" i="14"/>
  <c r="T20" i="14"/>
  <c r="P20" i="14"/>
  <c r="M20" i="14"/>
  <c r="T19" i="14"/>
  <c r="P19" i="14"/>
  <c r="M19" i="14"/>
  <c r="T18" i="14"/>
  <c r="P18" i="14"/>
  <c r="M18" i="14"/>
  <c r="B9" i="14"/>
  <c r="B8" i="14"/>
  <c r="M73" i="11"/>
  <c r="N64" i="11"/>
  <c r="M64" i="11"/>
  <c r="L64" i="11"/>
  <c r="K64" i="11"/>
  <c r="J64" i="11"/>
  <c r="I64" i="11"/>
  <c r="H64" i="11"/>
  <c r="G64" i="11"/>
  <c r="F64" i="11"/>
  <c r="E64" i="11"/>
  <c r="D64" i="11"/>
  <c r="N63" i="11"/>
  <c r="M63" i="11"/>
  <c r="L63" i="11"/>
  <c r="L61" i="11" s="1"/>
  <c r="K63" i="11"/>
  <c r="J63" i="11"/>
  <c r="J61" i="11" s="1"/>
  <c r="J62" i="11" s="1"/>
  <c r="I63" i="11"/>
  <c r="H63" i="11"/>
  <c r="G63" i="11"/>
  <c r="F63" i="11"/>
  <c r="E63" i="11"/>
  <c r="D63" i="11"/>
  <c r="N59" i="11"/>
  <c r="M59" i="11"/>
  <c r="L59" i="11"/>
  <c r="K59" i="11"/>
  <c r="J59" i="11"/>
  <c r="I59" i="11"/>
  <c r="H59" i="11"/>
  <c r="G59" i="11"/>
  <c r="F59" i="11"/>
  <c r="E59" i="11"/>
  <c r="D59" i="11"/>
  <c r="N58" i="11"/>
  <c r="M58" i="11"/>
  <c r="L58" i="11"/>
  <c r="K58" i="11"/>
  <c r="J58" i="11"/>
  <c r="I58" i="11"/>
  <c r="H58" i="11"/>
  <c r="G58" i="11"/>
  <c r="F58" i="11"/>
  <c r="E58" i="11"/>
  <c r="D58" i="11"/>
  <c r="C54" i="11"/>
  <c r="M49" i="11"/>
  <c r="N46" i="11"/>
  <c r="M46" i="11"/>
  <c r="L46" i="11"/>
  <c r="K46" i="11"/>
  <c r="J46" i="11"/>
  <c r="I46" i="11"/>
  <c r="H46" i="11"/>
  <c r="G46" i="11"/>
  <c r="F46" i="11"/>
  <c r="E46" i="11"/>
  <c r="D46" i="11"/>
  <c r="N39" i="11"/>
  <c r="M39" i="11"/>
  <c r="L39" i="11"/>
  <c r="K39" i="11"/>
  <c r="J39" i="11"/>
  <c r="I39" i="11"/>
  <c r="H39" i="11"/>
  <c r="G39" i="11"/>
  <c r="F39" i="11"/>
  <c r="E39" i="11"/>
  <c r="D39" i="11"/>
  <c r="N35" i="11"/>
  <c r="M35" i="11"/>
  <c r="L35" i="11"/>
  <c r="K35" i="11"/>
  <c r="J35" i="11"/>
  <c r="I35" i="11"/>
  <c r="H35" i="11"/>
  <c r="G35" i="11"/>
  <c r="F35" i="11"/>
  <c r="E35" i="11"/>
  <c r="D35" i="11"/>
  <c r="N34" i="11"/>
  <c r="M34" i="11"/>
  <c r="L34" i="11"/>
  <c r="K34" i="11"/>
  <c r="J34" i="11"/>
  <c r="I34" i="11"/>
  <c r="H34" i="11"/>
  <c r="G34" i="11"/>
  <c r="F34" i="11"/>
  <c r="E34" i="11"/>
  <c r="D34" i="11"/>
  <c r="C30" i="11"/>
  <c r="M25" i="11"/>
  <c r="N21" i="11"/>
  <c r="M21" i="11"/>
  <c r="L21" i="11"/>
  <c r="K21" i="11"/>
  <c r="J21" i="11"/>
  <c r="I21" i="11"/>
  <c r="H21" i="11"/>
  <c r="G21" i="11"/>
  <c r="F21" i="11"/>
  <c r="E21" i="11"/>
  <c r="D21" i="11"/>
  <c r="N16" i="11"/>
  <c r="M16" i="11"/>
  <c r="L16" i="11"/>
  <c r="K16" i="11"/>
  <c r="J16" i="11"/>
  <c r="I16" i="11"/>
  <c r="H16" i="11"/>
  <c r="G16" i="11"/>
  <c r="F16" i="11"/>
  <c r="E16" i="11"/>
  <c r="D16" i="11"/>
  <c r="N12" i="11"/>
  <c r="M12" i="11"/>
  <c r="L12" i="11"/>
  <c r="K12" i="11"/>
  <c r="J12" i="11"/>
  <c r="I12" i="11"/>
  <c r="H12" i="11"/>
  <c r="G12" i="11"/>
  <c r="F12" i="11"/>
  <c r="E12" i="11"/>
  <c r="D12" i="11"/>
  <c r="N11" i="11"/>
  <c r="N13" i="11" s="1"/>
  <c r="N18" i="11" s="1"/>
  <c r="M11" i="11"/>
  <c r="M13" i="11" s="1"/>
  <c r="M18" i="11" s="1"/>
  <c r="M15" i="11" s="1"/>
  <c r="M14" i="11" s="1"/>
  <c r="L11" i="11"/>
  <c r="L13" i="11" s="1"/>
  <c r="L18" i="11" s="1"/>
  <c r="K11" i="11"/>
  <c r="K13" i="11" s="1"/>
  <c r="K18" i="11" s="1"/>
  <c r="K15" i="11" s="1"/>
  <c r="K14" i="11" s="1"/>
  <c r="J11" i="11"/>
  <c r="I11" i="11"/>
  <c r="H11" i="11"/>
  <c r="G11" i="11"/>
  <c r="F11" i="11"/>
  <c r="C7" i="11"/>
  <c r="I20" i="9"/>
  <c r="J20" i="9" s="1"/>
  <c r="G20" i="9"/>
  <c r="H20" i="9" s="1"/>
  <c r="I19" i="9"/>
  <c r="G19" i="9"/>
  <c r="H19" i="9" s="1"/>
  <c r="I18" i="9"/>
  <c r="J18" i="9" s="1"/>
  <c r="G18" i="9"/>
  <c r="H18" i="9" s="1"/>
  <c r="I17" i="9"/>
  <c r="J17" i="9" s="1"/>
  <c r="G17" i="9"/>
  <c r="H17" i="9" s="1"/>
  <c r="I16" i="9"/>
  <c r="J16" i="9" s="1"/>
  <c r="G16" i="9"/>
  <c r="H16" i="9" s="1"/>
  <c r="I15" i="9"/>
  <c r="G15" i="9"/>
  <c r="H15" i="9" s="1"/>
  <c r="I14" i="9"/>
  <c r="J14" i="9" s="1"/>
  <c r="G14" i="9"/>
  <c r="H14" i="9" s="1"/>
  <c r="I13" i="9"/>
  <c r="J13" i="9" s="1"/>
  <c r="G13" i="9"/>
  <c r="H13" i="9" s="1"/>
  <c r="I12" i="9"/>
  <c r="G12" i="9"/>
  <c r="H12" i="9" s="1"/>
  <c r="K10" i="9"/>
  <c r="J10" i="9"/>
  <c r="I10" i="9"/>
  <c r="F6" i="8"/>
  <c r="G38" i="8" s="1"/>
  <c r="F5" i="8"/>
  <c r="D16" i="8" s="1"/>
  <c r="C14" i="7"/>
  <c r="I18" i="5"/>
  <c r="H18" i="5"/>
  <c r="G18" i="5"/>
  <c r="F18" i="5"/>
  <c r="E18" i="5"/>
  <c r="D18" i="5"/>
  <c r="I17" i="5"/>
  <c r="H17" i="5"/>
  <c r="G17" i="5"/>
  <c r="F17" i="5"/>
  <c r="E17" i="5"/>
  <c r="D17" i="5"/>
  <c r="I16" i="5"/>
  <c r="H16" i="5"/>
  <c r="G16" i="5"/>
  <c r="F16" i="5"/>
  <c r="E16" i="5"/>
  <c r="D16" i="5"/>
  <c r="I15" i="5"/>
  <c r="H15" i="5"/>
  <c r="G15" i="5"/>
  <c r="F15" i="5"/>
  <c r="E15" i="5"/>
  <c r="D15" i="5"/>
  <c r="I13" i="5"/>
  <c r="H13" i="5"/>
  <c r="G13" i="5"/>
  <c r="F13" i="5"/>
  <c r="E13" i="5"/>
  <c r="D13" i="5"/>
  <c r="I12" i="5"/>
  <c r="H12" i="5"/>
  <c r="G12" i="5"/>
  <c r="F12" i="5"/>
  <c r="E12" i="5"/>
  <c r="D12" i="5"/>
  <c r="I11" i="5"/>
  <c r="H11" i="5"/>
  <c r="G11" i="5"/>
  <c r="F11" i="5"/>
  <c r="E11" i="5"/>
  <c r="D11" i="5"/>
  <c r="I10" i="5"/>
  <c r="H10" i="5"/>
  <c r="G10" i="5"/>
  <c r="F10" i="5"/>
  <c r="E10" i="5"/>
  <c r="D10" i="5"/>
  <c r="D6" i="5"/>
  <c r="I17" i="4"/>
  <c r="H17" i="4"/>
  <c r="G17" i="4"/>
  <c r="F17" i="4"/>
  <c r="E17" i="4"/>
  <c r="D17" i="4"/>
  <c r="I16" i="4"/>
  <c r="H16" i="4"/>
  <c r="G16" i="4"/>
  <c r="F16" i="4"/>
  <c r="E16" i="4"/>
  <c r="D16" i="4"/>
  <c r="I15" i="4"/>
  <c r="H15" i="4"/>
  <c r="G15" i="4"/>
  <c r="F15" i="4"/>
  <c r="E15" i="4"/>
  <c r="D15" i="4"/>
  <c r="I14" i="4"/>
  <c r="H14" i="4"/>
  <c r="G14" i="4"/>
  <c r="F14" i="4"/>
  <c r="E14" i="4"/>
  <c r="D14" i="4"/>
  <c r="I12" i="4"/>
  <c r="H12" i="4"/>
  <c r="G12" i="4"/>
  <c r="F12" i="4"/>
  <c r="E12" i="4"/>
  <c r="D12" i="4"/>
  <c r="I11" i="4"/>
  <c r="H11" i="4"/>
  <c r="G11" i="4"/>
  <c r="F11" i="4"/>
  <c r="E11" i="4"/>
  <c r="D11" i="4"/>
  <c r="I10" i="4"/>
  <c r="H10" i="4"/>
  <c r="G10" i="4"/>
  <c r="F10" i="4"/>
  <c r="E10" i="4"/>
  <c r="D10" i="4"/>
  <c r="I9" i="4"/>
  <c r="H9" i="4"/>
  <c r="G9" i="4"/>
  <c r="F9" i="4"/>
  <c r="E9" i="4"/>
  <c r="D9" i="4"/>
  <c r="H6" i="4"/>
  <c r="G6" i="4"/>
  <c r="H5" i="4"/>
  <c r="G5" i="4"/>
  <c r="H4" i="4"/>
  <c r="G4" i="4"/>
  <c r="H3" i="4"/>
  <c r="G3" i="4"/>
  <c r="E41" i="3"/>
  <c r="E40" i="3"/>
  <c r="E39" i="3"/>
  <c r="E38" i="3"/>
  <c r="E37" i="3"/>
  <c r="E36" i="3"/>
  <c r="E35" i="3"/>
  <c r="E34" i="3"/>
  <c r="E33" i="3"/>
  <c r="E28" i="3"/>
  <c r="E27" i="3"/>
  <c r="E26" i="3"/>
  <c r="E25" i="3"/>
  <c r="E24" i="3"/>
  <c r="E23" i="3"/>
  <c r="E22" i="3"/>
  <c r="E21" i="3"/>
  <c r="E20" i="3"/>
  <c r="E15" i="3"/>
  <c r="E14" i="3"/>
  <c r="E13" i="3"/>
  <c r="E12" i="3"/>
  <c r="E11" i="3"/>
  <c r="E10" i="3"/>
  <c r="E9" i="3"/>
  <c r="E8" i="3"/>
  <c r="E7" i="3"/>
  <c r="E49" i="1"/>
  <c r="O31" i="1"/>
  <c r="E29" i="1"/>
  <c r="F29" i="1" s="1"/>
  <c r="E28" i="1"/>
  <c r="I28" i="1" s="1"/>
  <c r="E27" i="1"/>
  <c r="F27" i="1" s="1"/>
  <c r="E26" i="1"/>
  <c r="F26" i="1" s="1"/>
  <c r="E25" i="1"/>
  <c r="F25" i="1" s="1"/>
  <c r="E24" i="1"/>
  <c r="F24" i="1" s="1"/>
  <c r="E23" i="1"/>
  <c r="E22" i="1"/>
  <c r="E21" i="1"/>
  <c r="E20" i="1"/>
  <c r="E19" i="1"/>
  <c r="E18" i="1"/>
  <c r="E17" i="1"/>
  <c r="F17" i="1" s="1"/>
  <c r="E16" i="1"/>
  <c r="I16" i="1" s="1"/>
  <c r="B10" i="1"/>
  <c r="N3" i="1"/>
  <c r="C2" i="15"/>
  <c r="B2" i="15"/>
  <c r="A2" i="15"/>
  <c r="E1" i="15"/>
  <c r="D1" i="15"/>
  <c r="C1" i="15"/>
  <c r="B1" i="15"/>
  <c r="A1" i="15"/>
  <c r="O100" i="14"/>
  <c r="P100" i="14" s="1"/>
  <c r="O99" i="14"/>
  <c r="P99" i="14" s="1"/>
  <c r="O98" i="14"/>
  <c r="P98" i="14" s="1"/>
  <c r="P97" i="14"/>
  <c r="O97" i="14"/>
  <c r="O96" i="14"/>
  <c r="P96" i="14" s="1"/>
  <c r="O95" i="14"/>
  <c r="P95" i="14" s="1"/>
  <c r="O89" i="14"/>
  <c r="P89" i="14" s="1"/>
  <c r="O88" i="14"/>
  <c r="P88" i="14" s="1"/>
  <c r="O87" i="14"/>
  <c r="P87" i="14" s="1"/>
  <c r="P86" i="14"/>
  <c r="O86" i="14"/>
  <c r="O85" i="14"/>
  <c r="P85" i="14" s="1"/>
  <c r="O84" i="14"/>
  <c r="P84" i="14" s="1"/>
  <c r="H56" i="14"/>
  <c r="B47" i="14"/>
  <c r="B48" i="14" s="1"/>
  <c r="R46" i="14"/>
  <c r="N73" i="11" s="1"/>
  <c r="O46" i="14"/>
  <c r="F18" i="2" s="1"/>
  <c r="G18" i="2" s="1"/>
  <c r="H18" i="2" s="1"/>
  <c r="D46" i="14"/>
  <c r="C46" i="14" s="1"/>
  <c r="T45" i="14"/>
  <c r="S45" i="14"/>
  <c r="O45" i="14"/>
  <c r="D45" i="14"/>
  <c r="F45" i="14" s="1"/>
  <c r="R44" i="14"/>
  <c r="L73" i="11" s="1"/>
  <c r="O44" i="14"/>
  <c r="D44" i="14"/>
  <c r="F44" i="14" s="1"/>
  <c r="R43" i="14"/>
  <c r="S43" i="14" s="1"/>
  <c r="O43" i="14"/>
  <c r="F25" i="2" s="1"/>
  <c r="G25" i="2" s="1"/>
  <c r="H25" i="2" s="1"/>
  <c r="D43" i="14"/>
  <c r="C43" i="14" s="1"/>
  <c r="R42" i="14"/>
  <c r="O42" i="14"/>
  <c r="R41" i="14"/>
  <c r="I73" i="11" s="1"/>
  <c r="O41" i="14"/>
  <c r="F12" i="3" s="1"/>
  <c r="R40" i="14"/>
  <c r="O40" i="14"/>
  <c r="F32" i="2" s="1"/>
  <c r="G32" i="2" s="1"/>
  <c r="H32" i="2" s="1"/>
  <c r="I32" i="2" s="1"/>
  <c r="J32" i="2" s="1"/>
  <c r="R39" i="14"/>
  <c r="O39" i="14"/>
  <c r="F36" i="3" s="1"/>
  <c r="R38" i="14"/>
  <c r="O38" i="14"/>
  <c r="R37" i="14"/>
  <c r="O37" i="14"/>
  <c r="F31" i="2" s="1"/>
  <c r="G31" i="2" s="1"/>
  <c r="H31" i="2" s="1"/>
  <c r="D37" i="14"/>
  <c r="R36" i="14"/>
  <c r="D49" i="11" s="1"/>
  <c r="O36" i="14"/>
  <c r="D36" i="14"/>
  <c r="D35" i="14"/>
  <c r="D34" i="14"/>
  <c r="D33" i="14"/>
  <c r="D32" i="14"/>
  <c r="D31" i="14"/>
  <c r="D30" i="14"/>
  <c r="S29" i="14"/>
  <c r="Q29" i="14"/>
  <c r="N29" i="14" s="1"/>
  <c r="L29" i="14"/>
  <c r="D29" i="14"/>
  <c r="S28" i="14"/>
  <c r="Q28" i="14"/>
  <c r="N28" i="14" s="1"/>
  <c r="L28" i="14"/>
  <c r="D28" i="14"/>
  <c r="Q27" i="14"/>
  <c r="L27" i="14"/>
  <c r="D27" i="14"/>
  <c r="S26" i="14"/>
  <c r="Q26" i="14"/>
  <c r="L26" i="14"/>
  <c r="D26" i="14"/>
  <c r="S25" i="14"/>
  <c r="Q25" i="14"/>
  <c r="N25" i="14" s="1"/>
  <c r="L25" i="14"/>
  <c r="D25" i="14"/>
  <c r="U24" i="14"/>
  <c r="V24" i="14" s="1"/>
  <c r="S24" i="14"/>
  <c r="Q24" i="14"/>
  <c r="N24" i="14" s="1"/>
  <c r="H25" i="1" s="1"/>
  <c r="L24" i="14"/>
  <c r="D24" i="14"/>
  <c r="Q23" i="14"/>
  <c r="N23" i="14" s="1"/>
  <c r="D23" i="14"/>
  <c r="S22" i="14"/>
  <c r="Q22" i="14"/>
  <c r="N22" i="14" s="1"/>
  <c r="L22" i="14"/>
  <c r="D22" i="14"/>
  <c r="U21" i="14"/>
  <c r="V21" i="14" s="1"/>
  <c r="S21" i="14"/>
  <c r="Q21" i="14"/>
  <c r="N21" i="14" s="1"/>
  <c r="L21" i="14"/>
  <c r="D21" i="14"/>
  <c r="S20" i="14"/>
  <c r="Q20" i="14"/>
  <c r="N20" i="14" s="1"/>
  <c r="L20" i="14"/>
  <c r="D20" i="14"/>
  <c r="S19" i="14"/>
  <c r="Q19" i="14"/>
  <c r="N19" i="14" s="1"/>
  <c r="L19" i="14"/>
  <c r="D19" i="14"/>
  <c r="S18" i="14"/>
  <c r="Q18" i="14"/>
  <c r="N18" i="14" s="1"/>
  <c r="J8" i="12" s="1"/>
  <c r="L18" i="14"/>
  <c r="D18" i="14"/>
  <c r="D17" i="14"/>
  <c r="O13" i="14"/>
  <c r="S10" i="14"/>
  <c r="S9" i="14"/>
  <c r="O9" i="14"/>
  <c r="S8" i="14"/>
  <c r="O6" i="14"/>
  <c r="O10" i="14" s="1"/>
  <c r="O5" i="14"/>
  <c r="O4" i="14"/>
  <c r="E9" i="12"/>
  <c r="G9" i="12" s="1"/>
  <c r="I9" i="12" s="1"/>
  <c r="E8" i="12"/>
  <c r="E7" i="12"/>
  <c r="E6" i="12"/>
  <c r="E5" i="12"/>
  <c r="F62" i="11"/>
  <c r="N61" i="11"/>
  <c r="M61" i="11"/>
  <c r="K61" i="11"/>
  <c r="K62" i="11" s="1"/>
  <c r="I61" i="11"/>
  <c r="I62" i="11" s="1"/>
  <c r="H61" i="11"/>
  <c r="H62" i="11" s="1"/>
  <c r="G61" i="11"/>
  <c r="G62" i="11" s="1"/>
  <c r="F61" i="11"/>
  <c r="E61" i="11"/>
  <c r="D61" i="11"/>
  <c r="D62" i="11" s="1"/>
  <c r="N60" i="11"/>
  <c r="N65" i="11" s="1"/>
  <c r="N68" i="11" s="1"/>
  <c r="M60" i="11"/>
  <c r="M65" i="11" s="1"/>
  <c r="M68" i="11" s="1"/>
  <c r="L60" i="11"/>
  <c r="L65" i="11" s="1"/>
  <c r="K60" i="11"/>
  <c r="K65" i="11" s="1"/>
  <c r="K68" i="11" s="1"/>
  <c r="J60" i="11"/>
  <c r="J65" i="11" s="1"/>
  <c r="I60" i="11"/>
  <c r="I65" i="11" s="1"/>
  <c r="I68" i="11" s="1"/>
  <c r="H60" i="11"/>
  <c r="H65" i="11" s="1"/>
  <c r="H68" i="11" s="1"/>
  <c r="G60" i="11"/>
  <c r="F60" i="11"/>
  <c r="F65" i="11" s="1"/>
  <c r="F68" i="11" s="1"/>
  <c r="E60" i="11"/>
  <c r="D60" i="11"/>
  <c r="D65" i="11" s="1"/>
  <c r="D68" i="11" s="1"/>
  <c r="N36" i="11"/>
  <c r="N41" i="11" s="1"/>
  <c r="N47" i="11" s="1"/>
  <c r="N32" i="11" s="1"/>
  <c r="M36" i="11"/>
  <c r="M41" i="11" s="1"/>
  <c r="M47" i="11" s="1"/>
  <c r="M32" i="11" s="1"/>
  <c r="L36" i="11"/>
  <c r="L41" i="11" s="1"/>
  <c r="L47" i="11" s="1"/>
  <c r="L32" i="11" s="1"/>
  <c r="K36" i="11"/>
  <c r="K41" i="11" s="1"/>
  <c r="J36" i="11"/>
  <c r="J41" i="11" s="1"/>
  <c r="I36" i="11"/>
  <c r="I41" i="11" s="1"/>
  <c r="I47" i="11" s="1"/>
  <c r="I32" i="11" s="1"/>
  <c r="H36" i="11"/>
  <c r="H41" i="11" s="1"/>
  <c r="H47" i="11" s="1"/>
  <c r="H32" i="11" s="1"/>
  <c r="G36" i="11"/>
  <c r="G41" i="11" s="1"/>
  <c r="G47" i="11" s="1"/>
  <c r="G32" i="11" s="1"/>
  <c r="F36" i="11"/>
  <c r="F41" i="11" s="1"/>
  <c r="E36" i="11"/>
  <c r="E41" i="11" s="1"/>
  <c r="D36" i="11"/>
  <c r="J13" i="11"/>
  <c r="J18" i="11" s="1"/>
  <c r="I13" i="11"/>
  <c r="I18" i="11" s="1"/>
  <c r="H13" i="11"/>
  <c r="H18" i="11" s="1"/>
  <c r="G13" i="11"/>
  <c r="G18" i="11" s="1"/>
  <c r="F13" i="11"/>
  <c r="F18" i="11" s="1"/>
  <c r="E13" i="11"/>
  <c r="E18" i="11" s="1"/>
  <c r="D13" i="11"/>
  <c r="D18" i="11" s="1"/>
  <c r="C8" i="9"/>
  <c r="C7" i="9"/>
  <c r="M34" i="8"/>
  <c r="J34" i="8"/>
  <c r="G34" i="8"/>
  <c r="D34" i="8"/>
  <c r="M33" i="8"/>
  <c r="J33" i="8"/>
  <c r="G33" i="8"/>
  <c r="D33" i="8"/>
  <c r="M32" i="8"/>
  <c r="J32" i="8"/>
  <c r="G32" i="8"/>
  <c r="D32" i="8"/>
  <c r="M31" i="8"/>
  <c r="J31" i="8"/>
  <c r="G31" i="8"/>
  <c r="D31" i="8"/>
  <c r="M12" i="8"/>
  <c r="J12" i="8"/>
  <c r="G12" i="8"/>
  <c r="D12" i="8"/>
  <c r="M11" i="8"/>
  <c r="J11" i="8"/>
  <c r="G11" i="8"/>
  <c r="D11" i="8"/>
  <c r="M10" i="8"/>
  <c r="J10" i="8"/>
  <c r="G10" i="8"/>
  <c r="D10" i="8"/>
  <c r="M9" i="8"/>
  <c r="J9" i="8"/>
  <c r="G9" i="8"/>
  <c r="D9" i="8"/>
  <c r="C15" i="7"/>
  <c r="C12" i="7"/>
  <c r="K11" i="7"/>
  <c r="C11" i="7"/>
  <c r="G7" i="7"/>
  <c r="E34" i="6"/>
  <c r="C32" i="6"/>
  <c r="C41" i="6" s="1"/>
  <c r="C50" i="6" s="1"/>
  <c r="E31" i="6"/>
  <c r="E40" i="6" s="1"/>
  <c r="E49" i="6" s="1"/>
  <c r="C31" i="6"/>
  <c r="G27" i="6"/>
  <c r="F27" i="6"/>
  <c r="E27" i="6"/>
  <c r="D27" i="6"/>
  <c r="C27" i="6"/>
  <c r="G26" i="6"/>
  <c r="F26" i="6"/>
  <c r="E26" i="6"/>
  <c r="D26" i="6"/>
  <c r="C26" i="6"/>
  <c r="G25" i="6"/>
  <c r="F25" i="6"/>
  <c r="E25" i="6"/>
  <c r="D25" i="6"/>
  <c r="C25" i="6"/>
  <c r="G24" i="6"/>
  <c r="F24" i="6"/>
  <c r="E24" i="6"/>
  <c r="D24" i="6"/>
  <c r="C24" i="6"/>
  <c r="G23" i="6"/>
  <c r="F23" i="6"/>
  <c r="E23" i="6"/>
  <c r="D23" i="6"/>
  <c r="C23" i="6"/>
  <c r="G22" i="6"/>
  <c r="F22" i="6"/>
  <c r="E22" i="6"/>
  <c r="D22" i="6"/>
  <c r="C22" i="6"/>
  <c r="G18" i="6"/>
  <c r="F18" i="6"/>
  <c r="E18" i="6"/>
  <c r="D18" i="6"/>
  <c r="C18" i="6"/>
  <c r="G17" i="6"/>
  <c r="F17" i="6"/>
  <c r="E17" i="6"/>
  <c r="D17" i="6"/>
  <c r="C17" i="6"/>
  <c r="G16" i="6"/>
  <c r="F16" i="6"/>
  <c r="E16" i="6"/>
  <c r="D16" i="6"/>
  <c r="C16" i="6"/>
  <c r="G15" i="6"/>
  <c r="F15" i="6"/>
  <c r="E15" i="6"/>
  <c r="D15" i="6"/>
  <c r="C15" i="6"/>
  <c r="G14" i="6"/>
  <c r="F14" i="6"/>
  <c r="E14" i="6"/>
  <c r="D14" i="6"/>
  <c r="C14" i="6"/>
  <c r="G13" i="6"/>
  <c r="F13" i="6"/>
  <c r="E13" i="6"/>
  <c r="D13" i="6"/>
  <c r="C13" i="6"/>
  <c r="B6" i="6"/>
  <c r="D35" i="6" s="1"/>
  <c r="C26" i="5"/>
  <c r="C31" i="5" s="1"/>
  <c r="C36" i="5" s="1"/>
  <c r="C41" i="5" s="1"/>
  <c r="C46" i="5" s="1"/>
  <c r="C25" i="5"/>
  <c r="C30" i="5" s="1"/>
  <c r="C35" i="5" s="1"/>
  <c r="C40" i="5" s="1"/>
  <c r="C45" i="5" s="1"/>
  <c r="C23" i="5"/>
  <c r="C22" i="5"/>
  <c r="C21" i="5"/>
  <c r="C20" i="5"/>
  <c r="C18" i="5"/>
  <c r="C28" i="5" s="1"/>
  <c r="C33" i="5" s="1"/>
  <c r="C38" i="5" s="1"/>
  <c r="C43" i="5" s="1"/>
  <c r="C48" i="5" s="1"/>
  <c r="C17" i="5"/>
  <c r="C27" i="5" s="1"/>
  <c r="C32" i="5" s="1"/>
  <c r="C37" i="5" s="1"/>
  <c r="C42" i="5" s="1"/>
  <c r="C47" i="5" s="1"/>
  <c r="C16" i="5"/>
  <c r="C15" i="5"/>
  <c r="C20" i="4"/>
  <c r="C12" i="4"/>
  <c r="C22" i="4" s="1"/>
  <c r="C11" i="4"/>
  <c r="C16" i="4" s="1"/>
  <c r="C26" i="4" s="1"/>
  <c r="C31" i="4" s="1"/>
  <c r="C36" i="4" s="1"/>
  <c r="C41" i="4" s="1"/>
  <c r="C46" i="4" s="1"/>
  <c r="C10" i="4"/>
  <c r="C15" i="4" s="1"/>
  <c r="C25" i="4" s="1"/>
  <c r="C30" i="4" s="1"/>
  <c r="C35" i="4" s="1"/>
  <c r="C40" i="4" s="1"/>
  <c r="C45" i="4" s="1"/>
  <c r="C9" i="4"/>
  <c r="C19" i="4" s="1"/>
  <c r="I6" i="4"/>
  <c r="D22" i="4" s="1"/>
  <c r="D27" i="4" s="1"/>
  <c r="D32" i="4" s="1"/>
  <c r="I5" i="4"/>
  <c r="I4" i="4"/>
  <c r="E20" i="4" s="1"/>
  <c r="E25" i="4" s="1"/>
  <c r="E30" i="4" s="1"/>
  <c r="Q38" i="3"/>
  <c r="C38" i="3"/>
  <c r="C37" i="3"/>
  <c r="Q34" i="3"/>
  <c r="Q25" i="3"/>
  <c r="C25" i="3"/>
  <c r="C24" i="3"/>
  <c r="Q21" i="3"/>
  <c r="Q12" i="3"/>
  <c r="C12" i="3"/>
  <c r="C11" i="3"/>
  <c r="Q8" i="3"/>
  <c r="C34" i="2"/>
  <c r="C26" i="2"/>
  <c r="C18" i="2"/>
  <c r="C10" i="2"/>
  <c r="I49" i="1"/>
  <c r="J49" i="1" s="1"/>
  <c r="I48" i="1"/>
  <c r="I46" i="1"/>
  <c r="J46" i="1" s="1"/>
  <c r="I45" i="1"/>
  <c r="J45" i="1" s="1"/>
  <c r="I44" i="1"/>
  <c r="J44" i="1" s="1"/>
  <c r="L44" i="1" s="1"/>
  <c r="I43" i="1"/>
  <c r="J43" i="1" s="1"/>
  <c r="I42" i="1"/>
  <c r="J42" i="1" s="1"/>
  <c r="I41" i="1"/>
  <c r="J41" i="1" s="1"/>
  <c r="L41" i="1" s="1"/>
  <c r="I40" i="1"/>
  <c r="J40" i="1" s="1"/>
  <c r="I39" i="1"/>
  <c r="J39" i="1" s="1"/>
  <c r="I38" i="1"/>
  <c r="J38" i="1" s="1"/>
  <c r="I37" i="1"/>
  <c r="J37" i="1" s="1"/>
  <c r="F23" i="1"/>
  <c r="F22" i="1"/>
  <c r="F21" i="1"/>
  <c r="F20" i="1"/>
  <c r="F19" i="1"/>
  <c r="F18" i="1"/>
  <c r="I29" i="1" l="1"/>
  <c r="H24" i="1"/>
  <c r="H29" i="1"/>
  <c r="I20" i="1"/>
  <c r="F28" i="1"/>
  <c r="H24" i="17"/>
  <c r="N15" i="11"/>
  <c r="N14" i="11" s="1"/>
  <c r="K18" i="9"/>
  <c r="I3" i="4"/>
  <c r="F25" i="3"/>
  <c r="G25" i="3" s="1"/>
  <c r="H25" i="3" s="1"/>
  <c r="I25" i="3" s="1"/>
  <c r="L25" i="3" s="1"/>
  <c r="F34" i="6"/>
  <c r="F43" i="6" s="1"/>
  <c r="F52" i="6" s="1"/>
  <c r="I18" i="1"/>
  <c r="I56" i="11"/>
  <c r="E43" i="6"/>
  <c r="E52" i="6" s="1"/>
  <c r="E70" i="6" s="1"/>
  <c r="E35" i="6"/>
  <c r="E44" i="6" s="1"/>
  <c r="E53" i="6" s="1"/>
  <c r="G36" i="8"/>
  <c r="U23" i="14"/>
  <c r="V23" i="14" s="1"/>
  <c r="D47" i="14"/>
  <c r="I19" i="1"/>
  <c r="G36" i="3"/>
  <c r="H36" i="3" s="1"/>
  <c r="I36" i="3" s="1"/>
  <c r="H17" i="1"/>
  <c r="F16" i="1"/>
  <c r="G36" i="6"/>
  <c r="J36" i="8"/>
  <c r="M36" i="8"/>
  <c r="H69" i="11"/>
  <c r="H70" i="11" s="1"/>
  <c r="H71" i="11" s="1"/>
  <c r="H72" i="11" s="1"/>
  <c r="S11" i="14"/>
  <c r="I25" i="2"/>
  <c r="J25" i="2" s="1"/>
  <c r="I69" i="11"/>
  <c r="I70" i="11" s="1"/>
  <c r="I71" i="11" s="1"/>
  <c r="I72" i="11" s="1"/>
  <c r="I21" i="1"/>
  <c r="K13" i="7"/>
  <c r="D41" i="11"/>
  <c r="D47" i="11" s="1"/>
  <c r="D32" i="11" s="1"/>
  <c r="E65" i="11"/>
  <c r="E68" i="11" s="1"/>
  <c r="I22" i="1"/>
  <c r="J38" i="8"/>
  <c r="G27" i="7"/>
  <c r="G16" i="8"/>
  <c r="G17" i="8" s="1"/>
  <c r="M38" i="8"/>
  <c r="M39" i="8" s="1"/>
  <c r="M41" i="8" s="1"/>
  <c r="M42" i="8" s="1"/>
  <c r="J16" i="8"/>
  <c r="J17" i="8" s="1"/>
  <c r="D17" i="8"/>
  <c r="M16" i="8"/>
  <c r="M17" i="8" s="1"/>
  <c r="D38" i="8"/>
  <c r="D39" i="8" s="1"/>
  <c r="G8" i="7"/>
  <c r="J25" i="3"/>
  <c r="K25" i="3" s="1"/>
  <c r="D48" i="14"/>
  <c r="B49" i="14"/>
  <c r="D19" i="4"/>
  <c r="D24" i="4" s="1"/>
  <c r="D29" i="4" s="1"/>
  <c r="I19" i="4"/>
  <c r="I24" i="4" s="1"/>
  <c r="I29" i="4" s="1"/>
  <c r="U29" i="14"/>
  <c r="V29" i="14" s="1"/>
  <c r="S46" i="14"/>
  <c r="F33" i="2"/>
  <c r="G33" i="2" s="1"/>
  <c r="H33" i="2" s="1"/>
  <c r="I33" i="2" s="1"/>
  <c r="J33" i="2" s="1"/>
  <c r="S36" i="14"/>
  <c r="F7" i="3"/>
  <c r="G7" i="3" s="1"/>
  <c r="F26" i="3"/>
  <c r="G26" i="3" s="1"/>
  <c r="J26" i="3" s="1"/>
  <c r="K26" i="3" s="1"/>
  <c r="I23" i="1"/>
  <c r="F8" i="3"/>
  <c r="G8" i="3" s="1"/>
  <c r="F27" i="3"/>
  <c r="G27" i="3" s="1"/>
  <c r="E22" i="4"/>
  <c r="E27" i="4" s="1"/>
  <c r="E32" i="4" s="1"/>
  <c r="D44" i="6"/>
  <c r="D53" i="6" s="1"/>
  <c r="D34" i="6"/>
  <c r="D43" i="6" s="1"/>
  <c r="D52" i="6" s="1"/>
  <c r="D61" i="6" s="1"/>
  <c r="J47" i="11"/>
  <c r="J32" i="11" s="1"/>
  <c r="C44" i="14"/>
  <c r="F28" i="3"/>
  <c r="G28" i="3" s="1"/>
  <c r="H28" i="3" s="1"/>
  <c r="I28" i="3" s="1"/>
  <c r="J48" i="1"/>
  <c r="K32" i="1" s="1"/>
  <c r="F22" i="4"/>
  <c r="F27" i="4" s="1"/>
  <c r="F32" i="4" s="1"/>
  <c r="C40" i="6"/>
  <c r="C49" i="6" s="1"/>
  <c r="C58" i="6" s="1"/>
  <c r="I24" i="1"/>
  <c r="F10" i="3"/>
  <c r="G10" i="3" s="1"/>
  <c r="F33" i="3"/>
  <c r="G33" i="3" s="1"/>
  <c r="G22" i="4"/>
  <c r="G27" i="4" s="1"/>
  <c r="G32" i="4" s="1"/>
  <c r="G47" i="4" s="1"/>
  <c r="I25" i="1"/>
  <c r="F11" i="3"/>
  <c r="G11" i="3" s="1"/>
  <c r="D36" i="8"/>
  <c r="G34" i="6"/>
  <c r="G43" i="6" s="1"/>
  <c r="G52" i="6" s="1"/>
  <c r="C16" i="7"/>
  <c r="C17" i="7" s="1"/>
  <c r="C18" i="7" s="1"/>
  <c r="I31" i="2"/>
  <c r="J31" i="2" s="1"/>
  <c r="C35" i="6"/>
  <c r="C44" i="6" s="1"/>
  <c r="C53" i="6" s="1"/>
  <c r="L68" i="11"/>
  <c r="C45" i="14"/>
  <c r="I26" i="1"/>
  <c r="F13" i="3"/>
  <c r="G13" i="3" s="1"/>
  <c r="C21" i="4"/>
  <c r="G65" i="11"/>
  <c r="G68" i="11" s="1"/>
  <c r="I17" i="1"/>
  <c r="I27" i="1"/>
  <c r="F14" i="3"/>
  <c r="F37" i="3"/>
  <c r="G37" i="3" s="1"/>
  <c r="F15" i="3"/>
  <c r="G15" i="3" s="1"/>
  <c r="F38" i="3"/>
  <c r="G38" i="3" s="1"/>
  <c r="D69" i="11"/>
  <c r="D70" i="11" s="1"/>
  <c r="D71" i="11" s="1"/>
  <c r="D72" i="11" s="1"/>
  <c r="H28" i="1"/>
  <c r="F20" i="3"/>
  <c r="G20" i="3" s="1"/>
  <c r="F39" i="3"/>
  <c r="F40" i="3"/>
  <c r="G40" i="3" s="1"/>
  <c r="D14" i="8"/>
  <c r="S41" i="14"/>
  <c r="F41" i="3"/>
  <c r="G41" i="3" s="1"/>
  <c r="G14" i="8"/>
  <c r="F46" i="14"/>
  <c r="H20" i="1"/>
  <c r="F23" i="3"/>
  <c r="G23" i="3" s="1"/>
  <c r="D44" i="16"/>
  <c r="D72" i="16" s="1"/>
  <c r="C13" i="16"/>
  <c r="C12" i="16" s="1"/>
  <c r="I29" i="16"/>
  <c r="I36" i="16" s="1"/>
  <c r="F29" i="16"/>
  <c r="F36" i="16" s="1"/>
  <c r="H29" i="16"/>
  <c r="H36" i="16" s="1"/>
  <c r="F44" i="16"/>
  <c r="F72" i="16" s="1"/>
  <c r="H44" i="16"/>
  <c r="H72" i="16" s="1"/>
  <c r="D29" i="16"/>
  <c r="D36" i="16" s="1"/>
  <c r="I44" i="16"/>
  <c r="I72" i="16" s="1"/>
  <c r="G43" i="16"/>
  <c r="G71" i="16" s="1"/>
  <c r="G44" i="16"/>
  <c r="G72" i="16" s="1"/>
  <c r="E44" i="16"/>
  <c r="E72" i="16" s="1"/>
  <c r="E29" i="16"/>
  <c r="E36" i="16" s="1"/>
  <c r="C21" i="16"/>
  <c r="C28" i="16" s="1"/>
  <c r="C35" i="16" s="1"/>
  <c r="C42" i="16" s="1"/>
  <c r="C49" i="16" s="1"/>
  <c r="C56" i="16" s="1"/>
  <c r="C63" i="16" s="1"/>
  <c r="C70" i="16" s="1"/>
  <c r="C14" i="4"/>
  <c r="C24" i="4" s="1"/>
  <c r="C29" i="4" s="1"/>
  <c r="C34" i="4" s="1"/>
  <c r="C39" i="4" s="1"/>
  <c r="C44" i="4" s="1"/>
  <c r="H19" i="4"/>
  <c r="H24" i="4" s="1"/>
  <c r="H29" i="4" s="1"/>
  <c r="H34" i="4" s="1"/>
  <c r="H39" i="4" s="1"/>
  <c r="L15" i="11"/>
  <c r="L14" i="11" s="1"/>
  <c r="L22" i="11" s="1"/>
  <c r="L23" i="11" s="1"/>
  <c r="D56" i="11"/>
  <c r="D15" i="11"/>
  <c r="D14" i="11" s="1"/>
  <c r="D20" i="11" s="1"/>
  <c r="L43" i="1"/>
  <c r="K43" i="1"/>
  <c r="L46" i="1"/>
  <c r="K46" i="1"/>
  <c r="C59" i="6"/>
  <c r="C68" i="6"/>
  <c r="D62" i="6"/>
  <c r="D71" i="6"/>
  <c r="L45" i="1"/>
  <c r="K45" i="1"/>
  <c r="L49" i="1"/>
  <c r="K49" i="1"/>
  <c r="L37" i="1"/>
  <c r="K37" i="1"/>
  <c r="F47" i="4"/>
  <c r="F37" i="4"/>
  <c r="F42" i="4" s="1"/>
  <c r="D44" i="4"/>
  <c r="D34" i="4"/>
  <c r="D39" i="4" s="1"/>
  <c r="M19" i="11"/>
  <c r="M17" i="11"/>
  <c r="M20" i="11"/>
  <c r="M22" i="11"/>
  <c r="M23" i="11" s="1"/>
  <c r="L39" i="1"/>
  <c r="K39" i="1"/>
  <c r="E62" i="6"/>
  <c r="E71" i="6"/>
  <c r="L42" i="1"/>
  <c r="K42" i="1"/>
  <c r="I44" i="4"/>
  <c r="I34" i="4"/>
  <c r="I39" i="4" s="1"/>
  <c r="F70" i="6"/>
  <c r="F61" i="6"/>
  <c r="G70" i="6"/>
  <c r="G61" i="6"/>
  <c r="L40" i="1"/>
  <c r="K40" i="1"/>
  <c r="D47" i="4"/>
  <c r="D37" i="4"/>
  <c r="D42" i="4" s="1"/>
  <c r="N22" i="11"/>
  <c r="N23" i="11" s="1"/>
  <c r="N19" i="11"/>
  <c r="N20" i="11" s="1"/>
  <c r="N17" i="11"/>
  <c r="E67" i="6"/>
  <c r="E58" i="6"/>
  <c r="E47" i="4"/>
  <c r="E37" i="4"/>
  <c r="E42" i="4" s="1"/>
  <c r="L38" i="1"/>
  <c r="K38" i="1"/>
  <c r="E45" i="4"/>
  <c r="E35" i="4"/>
  <c r="E40" i="4" s="1"/>
  <c r="F22" i="5"/>
  <c r="F27" i="5" s="1"/>
  <c r="F32" i="5" s="1"/>
  <c r="E22" i="5"/>
  <c r="E27" i="5" s="1"/>
  <c r="E32" i="5" s="1"/>
  <c r="D22" i="5"/>
  <c r="D27" i="5" s="1"/>
  <c r="D32" i="5" s="1"/>
  <c r="I22" i="5"/>
  <c r="I27" i="5" s="1"/>
  <c r="I32" i="5" s="1"/>
  <c r="D23" i="5"/>
  <c r="D28" i="5" s="1"/>
  <c r="D33" i="5" s="1"/>
  <c r="F23" i="5"/>
  <c r="F28" i="5" s="1"/>
  <c r="F33" i="5" s="1"/>
  <c r="I23" i="5"/>
  <c r="I28" i="5" s="1"/>
  <c r="I33" i="5" s="1"/>
  <c r="H23" i="5"/>
  <c r="H28" i="5" s="1"/>
  <c r="H33" i="5" s="1"/>
  <c r="L19" i="11"/>
  <c r="L20" i="11" s="1"/>
  <c r="L17" i="11"/>
  <c r="K19" i="11"/>
  <c r="K20" i="11" s="1"/>
  <c r="K22" i="11"/>
  <c r="K23" i="11" s="1"/>
  <c r="F21" i="4"/>
  <c r="F26" i="4" s="1"/>
  <c r="F31" i="4" s="1"/>
  <c r="E21" i="4"/>
  <c r="E26" i="4" s="1"/>
  <c r="E31" i="4" s="1"/>
  <c r="D20" i="4"/>
  <c r="D25" i="4" s="1"/>
  <c r="D30" i="4" s="1"/>
  <c r="H22" i="4"/>
  <c r="H27" i="4" s="1"/>
  <c r="H32" i="4" s="1"/>
  <c r="K41" i="1"/>
  <c r="I22" i="4"/>
  <c r="I27" i="4" s="1"/>
  <c r="I32" i="4" s="1"/>
  <c r="E42" i="6"/>
  <c r="E51" i="6" s="1"/>
  <c r="G39" i="8"/>
  <c r="G41" i="8" s="1"/>
  <c r="G42" i="8" s="1"/>
  <c r="K69" i="11"/>
  <c r="K70" i="11" s="1"/>
  <c r="K71" i="11" s="1"/>
  <c r="L28" i="3"/>
  <c r="J36" i="3"/>
  <c r="K36" i="3" s="1"/>
  <c r="H38" i="3"/>
  <c r="I38" i="3" s="1"/>
  <c r="L38" i="3" s="1"/>
  <c r="F20" i="4"/>
  <c r="F25" i="4" s="1"/>
  <c r="F30" i="4" s="1"/>
  <c r="G45" i="6"/>
  <c r="G54" i="6" s="1"/>
  <c r="D31" i="6"/>
  <c r="D40" i="6" s="1"/>
  <c r="D49" i="6" s="1"/>
  <c r="J39" i="8"/>
  <c r="J41" i="8" s="1"/>
  <c r="J42" i="8" s="1"/>
  <c r="G20" i="4"/>
  <c r="G25" i="4" s="1"/>
  <c r="G30" i="4" s="1"/>
  <c r="G12" i="3"/>
  <c r="G14" i="3"/>
  <c r="H20" i="3"/>
  <c r="I20" i="3" s="1"/>
  <c r="L20" i="3" s="1"/>
  <c r="L36" i="3"/>
  <c r="J38" i="3"/>
  <c r="K38" i="3" s="1"/>
  <c r="H20" i="4"/>
  <c r="H25" i="4" s="1"/>
  <c r="H30" i="4" s="1"/>
  <c r="D36" i="6"/>
  <c r="D45" i="6" s="1"/>
  <c r="D54" i="6" s="1"/>
  <c r="C33" i="6"/>
  <c r="C42" i="6" s="1"/>
  <c r="C51" i="6" s="1"/>
  <c r="F36" i="6"/>
  <c r="F45" i="6" s="1"/>
  <c r="F54" i="6" s="1"/>
  <c r="D33" i="6"/>
  <c r="D42" i="6" s="1"/>
  <c r="D51" i="6" s="1"/>
  <c r="E36" i="6"/>
  <c r="E45" i="6" s="1"/>
  <c r="E54" i="6" s="1"/>
  <c r="G32" i="6"/>
  <c r="G41" i="6" s="1"/>
  <c r="G50" i="6" s="1"/>
  <c r="G35" i="6"/>
  <c r="G44" i="6" s="1"/>
  <c r="G53" i="6" s="1"/>
  <c r="E32" i="6"/>
  <c r="E41" i="6" s="1"/>
  <c r="E50" i="6" s="1"/>
  <c r="F31" i="6"/>
  <c r="F40" i="6" s="1"/>
  <c r="F49" i="6" s="1"/>
  <c r="F35" i="6"/>
  <c r="F44" i="6" s="1"/>
  <c r="F53" i="6" s="1"/>
  <c r="E47" i="11"/>
  <c r="E32" i="11" s="1"/>
  <c r="F48" i="14"/>
  <c r="C48" i="14"/>
  <c r="I18" i="2"/>
  <c r="J18" i="2" s="1"/>
  <c r="H26" i="3"/>
  <c r="I26" i="3" s="1"/>
  <c r="L26" i="3" s="1"/>
  <c r="J28" i="3"/>
  <c r="K28" i="3" s="1"/>
  <c r="I20" i="4"/>
  <c r="I25" i="4" s="1"/>
  <c r="I30" i="4" s="1"/>
  <c r="G31" i="6"/>
  <c r="G40" i="6" s="1"/>
  <c r="G49" i="6" s="1"/>
  <c r="C36" i="6"/>
  <c r="C45" i="6" s="1"/>
  <c r="C54" i="6" s="1"/>
  <c r="C29" i="7"/>
  <c r="F47" i="11"/>
  <c r="F32" i="11" s="1"/>
  <c r="G21" i="5"/>
  <c r="G26" i="5" s="1"/>
  <c r="G31" i="5" s="1"/>
  <c r="E21" i="5"/>
  <c r="E26" i="5" s="1"/>
  <c r="E31" i="5" s="1"/>
  <c r="D21" i="5"/>
  <c r="D26" i="5" s="1"/>
  <c r="D31" i="5" s="1"/>
  <c r="D19" i="11"/>
  <c r="D22" i="11"/>
  <c r="D23" i="11" s="1"/>
  <c r="D17" i="11"/>
  <c r="G43" i="11"/>
  <c r="G37" i="11" s="1"/>
  <c r="G5" i="12"/>
  <c r="I5" i="12" s="1"/>
  <c r="F7" i="12"/>
  <c r="F6" i="12"/>
  <c r="G6" i="12" s="1"/>
  <c r="I6" i="12" s="1"/>
  <c r="F8" i="12"/>
  <c r="G8" i="12" s="1"/>
  <c r="I8" i="12" s="1"/>
  <c r="K44" i="1"/>
  <c r="D21" i="4"/>
  <c r="D26" i="4" s="1"/>
  <c r="D31" i="4" s="1"/>
  <c r="D32" i="6"/>
  <c r="D41" i="6" s="1"/>
  <c r="D50" i="6" s="1"/>
  <c r="I15" i="11"/>
  <c r="I14" i="11" s="1"/>
  <c r="H43" i="11"/>
  <c r="H37" i="11" s="1"/>
  <c r="J20" i="3"/>
  <c r="K20" i="3" s="1"/>
  <c r="G21" i="4"/>
  <c r="G26" i="4" s="1"/>
  <c r="G31" i="4" s="1"/>
  <c r="F32" i="6"/>
  <c r="F41" i="6" s="1"/>
  <c r="F50" i="6" s="1"/>
  <c r="E15" i="11"/>
  <c r="E14" i="11" s="1"/>
  <c r="G7" i="12"/>
  <c r="I7" i="12" s="1"/>
  <c r="I23" i="2"/>
  <c r="J23" i="2" s="1"/>
  <c r="C17" i="4"/>
  <c r="C27" i="4" s="1"/>
  <c r="C32" i="4" s="1"/>
  <c r="C37" i="4" s="1"/>
  <c r="C42" i="4" s="1"/>
  <c r="C47" i="4" s="1"/>
  <c r="H21" i="4"/>
  <c r="H26" i="4" s="1"/>
  <c r="H31" i="4" s="1"/>
  <c r="E33" i="6"/>
  <c r="F56" i="11"/>
  <c r="F15" i="11"/>
  <c r="F14" i="11" s="1"/>
  <c r="G23" i="5"/>
  <c r="G28" i="5" s="1"/>
  <c r="G33" i="5" s="1"/>
  <c r="J56" i="11"/>
  <c r="J15" i="11"/>
  <c r="J14" i="11" s="1"/>
  <c r="G39" i="3"/>
  <c r="E19" i="4"/>
  <c r="E24" i="4" s="1"/>
  <c r="E29" i="4" s="1"/>
  <c r="I21" i="4"/>
  <c r="I26" i="4" s="1"/>
  <c r="I31" i="4" s="1"/>
  <c r="F33" i="6"/>
  <c r="F42" i="6" s="1"/>
  <c r="F51" i="6" s="1"/>
  <c r="G15" i="11"/>
  <c r="G14" i="11" s="1"/>
  <c r="K47" i="11"/>
  <c r="K32" i="11" s="1"/>
  <c r="F19" i="4"/>
  <c r="F24" i="4" s="1"/>
  <c r="F29" i="4" s="1"/>
  <c r="G33" i="6"/>
  <c r="G42" i="6" s="1"/>
  <c r="G51" i="6" s="1"/>
  <c r="J14" i="8"/>
  <c r="H56" i="11"/>
  <c r="H15" i="11"/>
  <c r="H14" i="11" s="1"/>
  <c r="N66" i="11"/>
  <c r="N67" i="11" s="1"/>
  <c r="N62" i="11"/>
  <c r="N69" i="11" s="1"/>
  <c r="N70" i="11" s="1"/>
  <c r="N71" i="11" s="1"/>
  <c r="J23" i="3"/>
  <c r="K23" i="3" s="1"/>
  <c r="G19" i="4"/>
  <c r="G24" i="4" s="1"/>
  <c r="G29" i="4" s="1"/>
  <c r="F20" i="5"/>
  <c r="F25" i="5" s="1"/>
  <c r="F30" i="5" s="1"/>
  <c r="H20" i="5"/>
  <c r="H25" i="5" s="1"/>
  <c r="H30" i="5" s="1"/>
  <c r="I20" i="5"/>
  <c r="I25" i="5" s="1"/>
  <c r="I30" i="5" s="1"/>
  <c r="E20" i="5"/>
  <c r="E25" i="5" s="1"/>
  <c r="E30" i="5" s="1"/>
  <c r="C34" i="6"/>
  <c r="C43" i="6" s="1"/>
  <c r="C52" i="6" s="1"/>
  <c r="M14" i="8"/>
  <c r="M19" i="8" s="1"/>
  <c r="M20" i="8" s="1"/>
  <c r="K17" i="11"/>
  <c r="J68" i="11"/>
  <c r="J69" i="11"/>
  <c r="J70" i="11" s="1"/>
  <c r="J71" i="11" s="1"/>
  <c r="J72" i="11" s="1"/>
  <c r="F69" i="11"/>
  <c r="F70" i="11" s="1"/>
  <c r="F71" i="11" s="1"/>
  <c r="F72" i="11" s="1"/>
  <c r="O11" i="14"/>
  <c r="T39" i="14" s="1"/>
  <c r="O8" i="14"/>
  <c r="O12" i="14" s="1"/>
  <c r="T40" i="14" s="1"/>
  <c r="L66" i="11"/>
  <c r="L67" i="11" s="1"/>
  <c r="B50" i="14"/>
  <c r="D49" i="14"/>
  <c r="F21" i="3"/>
  <c r="G21" i="3" s="1"/>
  <c r="E23" i="5"/>
  <c r="E28" i="5" s="1"/>
  <c r="E33" i="5" s="1"/>
  <c r="M62" i="11"/>
  <c r="M69" i="11" s="1"/>
  <c r="M70" i="11" s="1"/>
  <c r="M71" i="11" s="1"/>
  <c r="M66" i="11"/>
  <c r="M67" i="11" s="1"/>
  <c r="N26" i="14"/>
  <c r="H26" i="1" s="1"/>
  <c r="U26" i="14"/>
  <c r="V26" i="14" s="1"/>
  <c r="F23" i="2"/>
  <c r="G23" i="2" s="1"/>
  <c r="H23" i="2" s="1"/>
  <c r="F22" i="3"/>
  <c r="G22" i="3" s="1"/>
  <c r="K16" i="9"/>
  <c r="J73" i="11"/>
  <c r="J25" i="11"/>
  <c r="J49" i="11"/>
  <c r="T42" i="14"/>
  <c r="S42" i="14"/>
  <c r="K17" i="9"/>
  <c r="E62" i="11"/>
  <c r="E69" i="11" s="1"/>
  <c r="E70" i="11" s="1"/>
  <c r="E71" i="11" s="1"/>
  <c r="E72" i="11" s="1"/>
  <c r="U18" i="14"/>
  <c r="V18" i="14" s="1"/>
  <c r="F15" i="2"/>
  <c r="G15" i="2" s="1"/>
  <c r="H15" i="2" s="1"/>
  <c r="I15" i="2" s="1"/>
  <c r="J15" i="2" s="1"/>
  <c r="F7" i="2"/>
  <c r="G7" i="2" s="1"/>
  <c r="H7" i="2" s="1"/>
  <c r="I7" i="2" s="1"/>
  <c r="J7" i="2" s="1"/>
  <c r="N6" i="1"/>
  <c r="N5" i="1"/>
  <c r="B4" i="1" s="1"/>
  <c r="N4" i="1"/>
  <c r="N27" i="14"/>
  <c r="U27" i="14"/>
  <c r="V27" i="14" s="1"/>
  <c r="E49" i="11"/>
  <c r="S37" i="14"/>
  <c r="E73" i="11"/>
  <c r="E25" i="11"/>
  <c r="F43" i="14"/>
  <c r="T18" i="9"/>
  <c r="N18" i="9" s="1"/>
  <c r="F49" i="11"/>
  <c r="F73" i="11"/>
  <c r="F25" i="11"/>
  <c r="F9" i="3"/>
  <c r="G9" i="3" s="1"/>
  <c r="T12" i="9"/>
  <c r="N12" i="9" s="1"/>
  <c r="I43" i="11"/>
  <c r="I37" i="11" s="1"/>
  <c r="D66" i="11"/>
  <c r="D67" i="11"/>
  <c r="S38" i="14"/>
  <c r="K73" i="11"/>
  <c r="K25" i="11"/>
  <c r="K49" i="11"/>
  <c r="H16" i="1"/>
  <c r="T19" i="9"/>
  <c r="N19" i="9" s="1"/>
  <c r="E66" i="11"/>
  <c r="E67" i="11" s="1"/>
  <c r="U19" i="14"/>
  <c r="V19" i="14" s="1"/>
  <c r="E46" i="1"/>
  <c r="E44" i="1"/>
  <c r="E41" i="1"/>
  <c r="H27" i="1"/>
  <c r="H23" i="1"/>
  <c r="H21" i="1"/>
  <c r="H19" i="1"/>
  <c r="J9" i="12"/>
  <c r="E37" i="1"/>
  <c r="F66" i="11"/>
  <c r="F67" i="11" s="1"/>
  <c r="G49" i="11"/>
  <c r="G73" i="11"/>
  <c r="G25" i="11"/>
  <c r="E39" i="1"/>
  <c r="F34" i="3"/>
  <c r="G34" i="3" s="1"/>
  <c r="K13" i="9"/>
  <c r="L43" i="11"/>
  <c r="L37" i="11" s="1"/>
  <c r="L62" i="11"/>
  <c r="L69" i="11" s="1"/>
  <c r="L70" i="11" s="1"/>
  <c r="L71" i="11" s="1"/>
  <c r="U22" i="14"/>
  <c r="V22" i="14" s="1"/>
  <c r="S39" i="14"/>
  <c r="F47" i="14"/>
  <c r="C47" i="14"/>
  <c r="F35" i="3"/>
  <c r="G35" i="3" s="1"/>
  <c r="K20" i="9"/>
  <c r="M43" i="11"/>
  <c r="M37" i="11" s="1"/>
  <c r="H66" i="11"/>
  <c r="H67" i="11" s="1"/>
  <c r="U28" i="14"/>
  <c r="V28" i="14" s="1"/>
  <c r="F24" i="2"/>
  <c r="G24" i="2" s="1"/>
  <c r="H24" i="2" s="1"/>
  <c r="I24" i="2" s="1"/>
  <c r="J24" i="2" s="1"/>
  <c r="F16" i="2"/>
  <c r="G16" i="2" s="1"/>
  <c r="H16" i="2" s="1"/>
  <c r="I16" i="2" s="1"/>
  <c r="J16" i="2" s="1"/>
  <c r="F8" i="2"/>
  <c r="G8" i="2" s="1"/>
  <c r="H8" i="2" s="1"/>
  <c r="I8" i="2" s="1"/>
  <c r="J8" i="2" s="1"/>
  <c r="F24" i="3"/>
  <c r="G24" i="3" s="1"/>
  <c r="E40" i="1"/>
  <c r="K14" i="9"/>
  <c r="T14" i="9"/>
  <c r="N14" i="9" s="1"/>
  <c r="T17" i="9"/>
  <c r="N17" i="9" s="1"/>
  <c r="T13" i="9"/>
  <c r="N13" i="9" s="1"/>
  <c r="I66" i="11"/>
  <c r="I67" i="11" s="1"/>
  <c r="E38" i="1"/>
  <c r="J7" i="12"/>
  <c r="E43" i="1"/>
  <c r="E42" i="1"/>
  <c r="U25" i="14"/>
  <c r="V25" i="14" s="1"/>
  <c r="H73" i="11"/>
  <c r="H25" i="11"/>
  <c r="S40" i="14"/>
  <c r="H49" i="11"/>
  <c r="H22" i="1"/>
  <c r="E45" i="1"/>
  <c r="L18" i="9"/>
  <c r="L16" i="9"/>
  <c r="L14" i="9"/>
  <c r="L12" i="9"/>
  <c r="L19" i="9"/>
  <c r="L17" i="9"/>
  <c r="L15" i="9"/>
  <c r="L13" i="9"/>
  <c r="L20" i="9"/>
  <c r="J66" i="11"/>
  <c r="J67" i="11" s="1"/>
  <c r="K66" i="11"/>
  <c r="K67" i="11" s="1"/>
  <c r="U20" i="14"/>
  <c r="V20" i="14" s="1"/>
  <c r="H18" i="1"/>
  <c r="T15" i="9"/>
  <c r="N15" i="9" s="1"/>
  <c r="F26" i="2"/>
  <c r="G26" i="2" s="1"/>
  <c r="H26" i="2" s="1"/>
  <c r="I26" i="2" s="1"/>
  <c r="J26" i="2" s="1"/>
  <c r="T16" i="9"/>
  <c r="N16" i="9" s="1"/>
  <c r="N43" i="11"/>
  <c r="N37" i="11" s="1"/>
  <c r="T41" i="14"/>
  <c r="I49" i="11"/>
  <c r="J15" i="9"/>
  <c r="K15" i="9" s="1"/>
  <c r="D25" i="11"/>
  <c r="D73" i="11"/>
  <c r="F34" i="2"/>
  <c r="G34" i="2" s="1"/>
  <c r="H34" i="2" s="1"/>
  <c r="I34" i="2" s="1"/>
  <c r="J34" i="2" s="1"/>
  <c r="F21" i="5"/>
  <c r="F26" i="5" s="1"/>
  <c r="F31" i="5" s="1"/>
  <c r="T20" i="9"/>
  <c r="N20" i="9" s="1"/>
  <c r="L49" i="11"/>
  <c r="H21" i="5"/>
  <c r="H26" i="5" s="1"/>
  <c r="H31" i="5" s="1"/>
  <c r="J19" i="9"/>
  <c r="K19" i="9" s="1"/>
  <c r="N49" i="11"/>
  <c r="F9" i="2"/>
  <c r="G9" i="2" s="1"/>
  <c r="H9" i="2" s="1"/>
  <c r="I9" i="2" s="1"/>
  <c r="J9" i="2" s="1"/>
  <c r="I21" i="5"/>
  <c r="I26" i="5" s="1"/>
  <c r="I31" i="5" s="1"/>
  <c r="J12" i="9"/>
  <c r="K12" i="9" s="1"/>
  <c r="F10" i="2"/>
  <c r="G10" i="2" s="1"/>
  <c r="H10" i="2" s="1"/>
  <c r="I10" i="2" s="1"/>
  <c r="J10" i="2" s="1"/>
  <c r="I25" i="11"/>
  <c r="S44" i="14"/>
  <c r="F17" i="2"/>
  <c r="G17" i="2" s="1"/>
  <c r="H17" i="2" s="1"/>
  <c r="I17" i="2" s="1"/>
  <c r="J17" i="2" s="1"/>
  <c r="G22" i="5"/>
  <c r="G27" i="5" s="1"/>
  <c r="G32" i="5" s="1"/>
  <c r="L25" i="11"/>
  <c r="D20" i="5"/>
  <c r="D25" i="5" s="1"/>
  <c r="D30" i="5" s="1"/>
  <c r="H22" i="5"/>
  <c r="H27" i="5" s="1"/>
  <c r="H32" i="5" s="1"/>
  <c r="N25" i="11"/>
  <c r="G20" i="5"/>
  <c r="G25" i="5" s="1"/>
  <c r="G30" i="5" s="1"/>
  <c r="L48" i="1" l="1"/>
  <c r="N25" i="3"/>
  <c r="M25" i="3"/>
  <c r="C62" i="6"/>
  <c r="C71" i="6"/>
  <c r="J37" i="3"/>
  <c r="K37" i="3" s="1"/>
  <c r="H37" i="3"/>
  <c r="I37" i="3" s="1"/>
  <c r="L37" i="3" s="1"/>
  <c r="T43" i="14"/>
  <c r="E56" i="11"/>
  <c r="D43" i="11"/>
  <c r="D37" i="11" s="1"/>
  <c r="E61" i="6"/>
  <c r="T46" i="14"/>
  <c r="H44" i="4"/>
  <c r="D19" i="8"/>
  <c r="D20" i="8" s="1"/>
  <c r="D21" i="8" s="1"/>
  <c r="D41" i="8"/>
  <c r="D42" i="8" s="1"/>
  <c r="G19" i="8"/>
  <c r="G20" i="8" s="1"/>
  <c r="G23" i="8" s="1"/>
  <c r="G26" i="8" s="1"/>
  <c r="C20" i="7"/>
  <c r="K6" i="7" s="1"/>
  <c r="K15" i="7" s="1"/>
  <c r="K16" i="7" s="1"/>
  <c r="K17" i="7" s="1"/>
  <c r="J19" i="8"/>
  <c r="J20" i="8" s="1"/>
  <c r="J21" i="8" s="1"/>
  <c r="J27" i="3"/>
  <c r="K27" i="3" s="1"/>
  <c r="H27" i="3"/>
  <c r="I27" i="3" s="1"/>
  <c r="L27" i="3" s="1"/>
  <c r="J15" i="3"/>
  <c r="K15" i="3" s="1"/>
  <c r="H15" i="3"/>
  <c r="I15" i="3" s="1"/>
  <c r="L15" i="3" s="1"/>
  <c r="G37" i="4"/>
  <c r="G42" i="4" s="1"/>
  <c r="D24" i="8"/>
  <c r="D27" i="8" s="1"/>
  <c r="D28" i="8" s="1"/>
  <c r="T37" i="14"/>
  <c r="D23" i="8"/>
  <c r="D26" i="8" s="1"/>
  <c r="G69" i="11"/>
  <c r="G70" i="11" s="1"/>
  <c r="G71" i="11" s="1"/>
  <c r="G72" i="11" s="1"/>
  <c r="T44" i="14"/>
  <c r="H13" i="3"/>
  <c r="I13" i="3" s="1"/>
  <c r="L13" i="3" s="1"/>
  <c r="G66" i="11"/>
  <c r="G67" i="11" s="1"/>
  <c r="T36" i="14"/>
  <c r="T38" i="14"/>
  <c r="J43" i="11"/>
  <c r="J37" i="11" s="1"/>
  <c r="D70" i="6"/>
  <c r="J13" i="3"/>
  <c r="K13" i="3" s="1"/>
  <c r="C67" i="6"/>
  <c r="H23" i="3"/>
  <c r="I23" i="3" s="1"/>
  <c r="L23" i="3"/>
  <c r="N23" i="3" s="1"/>
  <c r="G56" i="11"/>
  <c r="D58" i="16"/>
  <c r="D65" i="16" s="1"/>
  <c r="H43" i="16"/>
  <c r="H71" i="16" s="1"/>
  <c r="F43" i="16"/>
  <c r="F71" i="16" s="1"/>
  <c r="I43" i="16"/>
  <c r="I71" i="16" s="1"/>
  <c r="C20" i="16"/>
  <c r="H28" i="16"/>
  <c r="H35" i="16" s="1"/>
  <c r="E28" i="16"/>
  <c r="E35" i="16" s="1"/>
  <c r="F28" i="16"/>
  <c r="F35" i="16" s="1"/>
  <c r="G28" i="16"/>
  <c r="G35" i="16" s="1"/>
  <c r="I28" i="16"/>
  <c r="I35" i="16" s="1"/>
  <c r="D28" i="16"/>
  <c r="D35" i="16" s="1"/>
  <c r="D51" i="16"/>
  <c r="E58" i="16"/>
  <c r="E65" i="16" s="1"/>
  <c r="E43" i="16"/>
  <c r="E71" i="16" s="1"/>
  <c r="D43" i="16"/>
  <c r="D71" i="16" s="1"/>
  <c r="C19" i="16"/>
  <c r="C26" i="16" s="1"/>
  <c r="C33" i="16" s="1"/>
  <c r="L24" i="11"/>
  <c r="D58" i="6"/>
  <c r="D67" i="6"/>
  <c r="C69" i="6"/>
  <c r="C60" i="6"/>
  <c r="G68" i="6"/>
  <c r="G59" i="6"/>
  <c r="C72" i="6"/>
  <c r="C63" i="6"/>
  <c r="F63" i="6"/>
  <c r="F72" i="6"/>
  <c r="N27" i="3"/>
  <c r="M27" i="3"/>
  <c r="D60" i="6"/>
  <c r="D69" i="6"/>
  <c r="F69" i="6"/>
  <c r="F60" i="6"/>
  <c r="G58" i="6"/>
  <c r="G67" i="6"/>
  <c r="M56" i="11"/>
  <c r="M72" i="11"/>
  <c r="L45" i="11"/>
  <c r="L38" i="11"/>
  <c r="L42" i="11"/>
  <c r="L44" i="11"/>
  <c r="L40" i="11"/>
  <c r="L48" i="11" s="1"/>
  <c r="N37" i="3"/>
  <c r="M37" i="3"/>
  <c r="N26" i="3"/>
  <c r="M26" i="3"/>
  <c r="N38" i="11"/>
  <c r="N42" i="11"/>
  <c r="N40" i="11"/>
  <c r="N48" i="11" s="1"/>
  <c r="N45" i="11"/>
  <c r="N44" i="11"/>
  <c r="K56" i="11"/>
  <c r="K72" i="11"/>
  <c r="G38" i="5"/>
  <c r="G43" i="5" s="1"/>
  <c r="G48" i="5"/>
  <c r="M24" i="8"/>
  <c r="M27" i="8" s="1"/>
  <c r="M23" i="8"/>
  <c r="M26" i="8" s="1"/>
  <c r="M21" i="8"/>
  <c r="M45" i="8"/>
  <c r="M48" i="8" s="1"/>
  <c r="M43" i="8"/>
  <c r="M46" i="8"/>
  <c r="M49" i="8" s="1"/>
  <c r="M50" i="8" s="1"/>
  <c r="N56" i="11"/>
  <c r="N72" i="11"/>
  <c r="F68" i="6"/>
  <c r="F59" i="6"/>
  <c r="G69" i="6"/>
  <c r="G60" i="6"/>
  <c r="G45" i="8"/>
  <c r="G48" i="8" s="1"/>
  <c r="G46" i="8"/>
  <c r="G49" i="8" s="1"/>
  <c r="G43" i="8"/>
  <c r="F58" i="6"/>
  <c r="F67" i="6"/>
  <c r="L56" i="11"/>
  <c r="L72" i="11"/>
  <c r="I35" i="5"/>
  <c r="I40" i="5" s="1"/>
  <c r="I45" i="5"/>
  <c r="G71" i="6"/>
  <c r="G62" i="6"/>
  <c r="N15" i="3"/>
  <c r="M15" i="3"/>
  <c r="J14" i="3"/>
  <c r="K14" i="3" s="1"/>
  <c r="H14" i="3"/>
  <c r="I14" i="3" s="1"/>
  <c r="L14" i="3" s="1"/>
  <c r="O12" i="9"/>
  <c r="R12" i="9" s="1"/>
  <c r="K24" i="11"/>
  <c r="H22" i="11"/>
  <c r="H23" i="11" s="1"/>
  <c r="H19" i="11"/>
  <c r="H20" i="11" s="1"/>
  <c r="H17" i="11"/>
  <c r="I36" i="4"/>
  <c r="I41" i="4" s="1"/>
  <c r="I46" i="4"/>
  <c r="C32" i="7"/>
  <c r="C33" i="7" s="1"/>
  <c r="C30" i="7"/>
  <c r="C35" i="7"/>
  <c r="C36" i="7" s="1"/>
  <c r="E68" i="6"/>
  <c r="E59" i="6"/>
  <c r="N38" i="3"/>
  <c r="M38" i="3"/>
  <c r="J12" i="3"/>
  <c r="K12" i="3" s="1"/>
  <c r="H12" i="3"/>
  <c r="I12" i="3" s="1"/>
  <c r="L12" i="3" s="1"/>
  <c r="J34" i="3"/>
  <c r="K34" i="3" s="1"/>
  <c r="H34" i="3"/>
  <c r="I34" i="3" s="1"/>
  <c r="L34" i="3" s="1"/>
  <c r="H9" i="3"/>
  <c r="I9" i="3" s="1"/>
  <c r="L9" i="3" s="1"/>
  <c r="J9" i="3"/>
  <c r="K9" i="3" s="1"/>
  <c r="E44" i="4"/>
  <c r="E34" i="4"/>
  <c r="E39" i="4" s="1"/>
  <c r="D40" i="11"/>
  <c r="D48" i="11" s="1"/>
  <c r="D44" i="11"/>
  <c r="D45" i="11"/>
  <c r="D38" i="11"/>
  <c r="D42" i="11"/>
  <c r="C86" i="6"/>
  <c r="C77" i="6"/>
  <c r="J22" i="3"/>
  <c r="K22" i="3" s="1"/>
  <c r="H22" i="3"/>
  <c r="I22" i="3" s="1"/>
  <c r="L22" i="3" s="1"/>
  <c r="N20" i="3"/>
  <c r="M20" i="3"/>
  <c r="M38" i="11"/>
  <c r="M42" i="11"/>
  <c r="M45" i="11"/>
  <c r="M44" i="11"/>
  <c r="M40" i="11"/>
  <c r="M48" i="11" s="1"/>
  <c r="B7" i="1"/>
  <c r="B3" i="1"/>
  <c r="H39" i="3"/>
  <c r="I39" i="3" s="1"/>
  <c r="L39" i="3" s="1"/>
  <c r="J39" i="3"/>
  <c r="K39" i="3" s="1"/>
  <c r="K19" i="7"/>
  <c r="K20" i="7" s="1"/>
  <c r="D46" i="4"/>
  <c r="D36" i="4"/>
  <c r="D41" i="4" s="1"/>
  <c r="D89" i="6"/>
  <c r="D80" i="6"/>
  <c r="J24" i="8"/>
  <c r="J27" i="8" s="1"/>
  <c r="J28" i="8" s="1"/>
  <c r="J7" i="3"/>
  <c r="K7" i="3" s="1"/>
  <c r="H7" i="3"/>
  <c r="I7" i="3" s="1"/>
  <c r="L7" i="3"/>
  <c r="I45" i="4"/>
  <c r="I35" i="4"/>
  <c r="I40" i="4" s="1"/>
  <c r="E72" i="6"/>
  <c r="E63" i="6"/>
  <c r="E69" i="6"/>
  <c r="E60" i="6"/>
  <c r="E88" i="6"/>
  <c r="E79" i="6"/>
  <c r="E35" i="5"/>
  <c r="E40" i="5" s="1"/>
  <c r="E45" i="5"/>
  <c r="J17" i="11"/>
  <c r="J19" i="11"/>
  <c r="J20" i="11" s="1"/>
  <c r="J22" i="11"/>
  <c r="J23" i="11" s="1"/>
  <c r="E22" i="11"/>
  <c r="E23" i="11" s="1"/>
  <c r="E17" i="11"/>
  <c r="E19" i="11"/>
  <c r="E20" i="11" s="1"/>
  <c r="I47" i="4"/>
  <c r="I37" i="4"/>
  <c r="I42" i="4" s="1"/>
  <c r="H48" i="5"/>
  <c r="H38" i="5"/>
  <c r="H43" i="5" s="1"/>
  <c r="N24" i="11"/>
  <c r="O19" i="9"/>
  <c r="R19" i="9" s="1"/>
  <c r="Q19" i="9"/>
  <c r="P19" i="9"/>
  <c r="G45" i="4"/>
  <c r="G35" i="4"/>
  <c r="G40" i="4" s="1"/>
  <c r="I48" i="5"/>
  <c r="I38" i="5"/>
  <c r="I43" i="5" s="1"/>
  <c r="I45" i="11"/>
  <c r="I38" i="11"/>
  <c r="I42" i="11"/>
  <c r="I40" i="11"/>
  <c r="I48" i="11" s="1"/>
  <c r="I44" i="11"/>
  <c r="J8" i="3"/>
  <c r="K8" i="3" s="1"/>
  <c r="H8" i="3"/>
  <c r="I8" i="3" s="1"/>
  <c r="L8" i="3" s="1"/>
  <c r="J35" i="3"/>
  <c r="K35" i="3" s="1"/>
  <c r="H35" i="3"/>
  <c r="I35" i="3" s="1"/>
  <c r="L35" i="3" s="1"/>
  <c r="O15" i="9"/>
  <c r="R15" i="9" s="1"/>
  <c r="O13" i="9"/>
  <c r="R13" i="9" s="1"/>
  <c r="P13" i="9"/>
  <c r="O18" i="9"/>
  <c r="R18" i="9" s="1"/>
  <c r="E38" i="5"/>
  <c r="E43" i="5" s="1"/>
  <c r="E48" i="5"/>
  <c r="H35" i="5"/>
  <c r="H40" i="5" s="1"/>
  <c r="H45" i="5"/>
  <c r="F44" i="4"/>
  <c r="F34" i="4"/>
  <c r="F39" i="4" s="1"/>
  <c r="G46" i="4"/>
  <c r="G36" i="4"/>
  <c r="G41" i="4" s="1"/>
  <c r="G40" i="11"/>
  <c r="G48" i="11" s="1"/>
  <c r="G45" i="11"/>
  <c r="G44" i="11"/>
  <c r="G42" i="11"/>
  <c r="G38" i="11"/>
  <c r="F38" i="5"/>
  <c r="F43" i="5" s="1"/>
  <c r="F48" i="5"/>
  <c r="F47" i="5"/>
  <c r="F37" i="5"/>
  <c r="F42" i="5" s="1"/>
  <c r="O17" i="9"/>
  <c r="R17" i="9" s="1"/>
  <c r="J21" i="3"/>
  <c r="K21" i="3" s="1"/>
  <c r="H21" i="3"/>
  <c r="I21" i="3" s="1"/>
  <c r="L21" i="3" s="1"/>
  <c r="F45" i="5"/>
  <c r="F35" i="5"/>
  <c r="F40" i="5" s="1"/>
  <c r="H11" i="3"/>
  <c r="I11" i="3" s="1"/>
  <c r="L11" i="3"/>
  <c r="J11" i="3"/>
  <c r="K11" i="3" s="1"/>
  <c r="F22" i="11"/>
  <c r="F17" i="11"/>
  <c r="F23" i="11"/>
  <c r="F19" i="11"/>
  <c r="F20" i="11" s="1"/>
  <c r="J41" i="3"/>
  <c r="K41" i="3" s="1"/>
  <c r="H41" i="3"/>
  <c r="I41" i="3" s="1"/>
  <c r="L41" i="3" s="1"/>
  <c r="D24" i="11"/>
  <c r="D72" i="6"/>
  <c r="D63" i="6"/>
  <c r="D48" i="5"/>
  <c r="D38" i="5"/>
  <c r="D43" i="5" s="1"/>
  <c r="E89" i="6"/>
  <c r="E80" i="6"/>
  <c r="J33" i="3"/>
  <c r="K33" i="3" s="1"/>
  <c r="H33" i="3"/>
  <c r="I33" i="3" s="1"/>
  <c r="L33" i="3"/>
  <c r="D88" i="6"/>
  <c r="D79" i="6"/>
  <c r="F43" i="11"/>
  <c r="F37" i="11" s="1"/>
  <c r="J45" i="11"/>
  <c r="J38" i="11"/>
  <c r="J42" i="11"/>
  <c r="J40" i="11"/>
  <c r="J48" i="11" s="1"/>
  <c r="J44" i="11"/>
  <c r="O14" i="9"/>
  <c r="R14" i="9" s="1"/>
  <c r="Q14" i="9"/>
  <c r="S14" i="9" s="1"/>
  <c r="P14" i="9"/>
  <c r="F49" i="14"/>
  <c r="C49" i="14"/>
  <c r="G34" i="4"/>
  <c r="G39" i="4" s="1"/>
  <c r="G44" i="4"/>
  <c r="H45" i="4"/>
  <c r="H35" i="4"/>
  <c r="H40" i="4" s="1"/>
  <c r="H47" i="4"/>
  <c r="H37" i="4"/>
  <c r="H42" i="4" s="1"/>
  <c r="N28" i="3"/>
  <c r="M28" i="3"/>
  <c r="H10" i="3"/>
  <c r="I10" i="3" s="1"/>
  <c r="L10" i="3" s="1"/>
  <c r="J10" i="3"/>
  <c r="K10" i="3" s="1"/>
  <c r="I46" i="5"/>
  <c r="I36" i="5"/>
  <c r="I41" i="5" s="1"/>
  <c r="H47" i="5"/>
  <c r="H37" i="5"/>
  <c r="H42" i="5" s="1"/>
  <c r="B51" i="14"/>
  <c r="D50" i="14"/>
  <c r="H45" i="11"/>
  <c r="H38" i="11"/>
  <c r="H44" i="11"/>
  <c r="H42" i="11"/>
  <c r="H40" i="11"/>
  <c r="H48" i="11" s="1"/>
  <c r="G63" i="6"/>
  <c r="G72" i="6"/>
  <c r="D45" i="4"/>
  <c r="D35" i="4"/>
  <c r="D40" i="4" s="1"/>
  <c r="C80" i="6"/>
  <c r="C89" i="6"/>
  <c r="M24" i="11"/>
  <c r="F62" i="6"/>
  <c r="F71" i="6"/>
  <c r="O16" i="9"/>
  <c r="R16" i="9" s="1"/>
  <c r="G35" i="5"/>
  <c r="G40" i="5" s="1"/>
  <c r="G45" i="5"/>
  <c r="H46" i="5"/>
  <c r="H36" i="5"/>
  <c r="H41" i="5" s="1"/>
  <c r="K43" i="11"/>
  <c r="K37" i="11" s="1"/>
  <c r="N36" i="3"/>
  <c r="M36" i="3"/>
  <c r="F45" i="4"/>
  <c r="F35" i="4"/>
  <c r="F40" i="4" s="1"/>
  <c r="E46" i="4"/>
  <c r="E36" i="4"/>
  <c r="E41" i="4" s="1"/>
  <c r="I47" i="5"/>
  <c r="I37" i="5"/>
  <c r="I42" i="5" s="1"/>
  <c r="J45" i="8"/>
  <c r="J48" i="8" s="1"/>
  <c r="J46" i="8"/>
  <c r="J49" i="8" s="1"/>
  <c r="J43" i="8"/>
  <c r="E85" i="6"/>
  <c r="E76" i="6"/>
  <c r="D45" i="5"/>
  <c r="D35" i="5"/>
  <c r="D40" i="5" s="1"/>
  <c r="O20" i="9"/>
  <c r="R20" i="9" s="1"/>
  <c r="Q20" i="9"/>
  <c r="S20" i="9" s="1"/>
  <c r="P20" i="9"/>
  <c r="H46" i="4"/>
  <c r="H36" i="4"/>
  <c r="H41" i="4" s="1"/>
  <c r="I22" i="11"/>
  <c r="I23" i="11" s="1"/>
  <c r="I19" i="11"/>
  <c r="I20" i="11" s="1"/>
  <c r="I17" i="11"/>
  <c r="D36" i="5"/>
  <c r="D41" i="5" s="1"/>
  <c r="D46" i="5"/>
  <c r="F36" i="4"/>
  <c r="F41" i="4" s="1"/>
  <c r="F46" i="4"/>
  <c r="D47" i="5"/>
  <c r="D37" i="5"/>
  <c r="D42" i="5" s="1"/>
  <c r="C85" i="6"/>
  <c r="C76" i="6"/>
  <c r="G46" i="5"/>
  <c r="G36" i="5"/>
  <c r="G41" i="5" s="1"/>
  <c r="F88" i="6"/>
  <c r="F79" i="6"/>
  <c r="C70" i="6"/>
  <c r="C61" i="6"/>
  <c r="G47" i="5"/>
  <c r="G37" i="5"/>
  <c r="G42" i="5" s="1"/>
  <c r="F46" i="5"/>
  <c r="F36" i="5"/>
  <c r="F41" i="5" s="1"/>
  <c r="J24" i="3"/>
  <c r="K24" i="3" s="1"/>
  <c r="H24" i="3"/>
  <c r="I24" i="3" s="1"/>
  <c r="L24" i="3" s="1"/>
  <c r="G22" i="11"/>
  <c r="G23" i="11" s="1"/>
  <c r="G19" i="11"/>
  <c r="G17" i="11"/>
  <c r="G20" i="11"/>
  <c r="D59" i="6"/>
  <c r="D68" i="6"/>
  <c r="E36" i="5"/>
  <c r="E41" i="5" s="1"/>
  <c r="E46" i="5"/>
  <c r="E43" i="11"/>
  <c r="E37" i="11" s="1"/>
  <c r="J40" i="3"/>
  <c r="K40" i="3" s="1"/>
  <c r="H40" i="3"/>
  <c r="I40" i="3" s="1"/>
  <c r="L40" i="3" s="1"/>
  <c r="E47" i="5"/>
  <c r="E37" i="5"/>
  <c r="E42" i="5" s="1"/>
  <c r="G79" i="6"/>
  <c r="G88" i="6"/>
  <c r="N13" i="3" l="1"/>
  <c r="M13" i="3"/>
  <c r="Q13" i="9"/>
  <c r="S13" i="9" s="1"/>
  <c r="M23" i="3"/>
  <c r="C21" i="7"/>
  <c r="C22" i="7" s="1"/>
  <c r="C23" i="7" s="1"/>
  <c r="G10" i="7"/>
  <c r="G11" i="7" s="1"/>
  <c r="G12" i="7" s="1"/>
  <c r="C27" i="16"/>
  <c r="C34" i="16" s="1"/>
  <c r="C41" i="16" s="1"/>
  <c r="C48" i="16" s="1"/>
  <c r="C55" i="16" s="1"/>
  <c r="C62" i="16" s="1"/>
  <c r="C69" i="16" s="1"/>
  <c r="G29" i="7"/>
  <c r="G30" i="7" s="1"/>
  <c r="G36" i="7" s="1"/>
  <c r="J23" i="8"/>
  <c r="J26" i="8" s="1"/>
  <c r="G14" i="7"/>
  <c r="G15" i="7" s="1"/>
  <c r="G17" i="7"/>
  <c r="G18" i="7" s="1"/>
  <c r="G20" i="7" s="1"/>
  <c r="D43" i="8"/>
  <c r="D46" i="8"/>
  <c r="D49" i="8" s="1"/>
  <c r="D50" i="8" s="1"/>
  <c r="D45" i="8"/>
  <c r="D48" i="8" s="1"/>
  <c r="K22" i="7"/>
  <c r="K23" i="7" s="1"/>
  <c r="K25" i="7" s="1"/>
  <c r="G24" i="8"/>
  <c r="G27" i="8" s="1"/>
  <c r="G21" i="8"/>
  <c r="C40" i="16"/>
  <c r="C47" i="16" s="1"/>
  <c r="C54" i="16" s="1"/>
  <c r="C61" i="16" s="1"/>
  <c r="C68" i="16" s="1"/>
  <c r="P18" i="9"/>
  <c r="Q15" i="9"/>
  <c r="S15" i="9" s="1"/>
  <c r="S19" i="9"/>
  <c r="I27" i="16"/>
  <c r="H27" i="16"/>
  <c r="H34" i="16" s="1"/>
  <c r="F27" i="16"/>
  <c r="F34" i="16" s="1"/>
  <c r="D27" i="16"/>
  <c r="G27" i="16"/>
  <c r="G34" i="16" s="1"/>
  <c r="G41" i="16" s="1"/>
  <c r="G69" i="16" s="1"/>
  <c r="E27" i="16"/>
  <c r="H41" i="16"/>
  <c r="H69" i="16" s="1"/>
  <c r="D42" i="16"/>
  <c r="D70" i="16" s="1"/>
  <c r="I42" i="16"/>
  <c r="I70" i="16" s="1"/>
  <c r="G42" i="16"/>
  <c r="G70" i="16" s="1"/>
  <c r="F42" i="16"/>
  <c r="F70" i="16" s="1"/>
  <c r="E42" i="16"/>
  <c r="E70" i="16" s="1"/>
  <c r="I57" i="16"/>
  <c r="I64" i="16" s="1"/>
  <c r="H42" i="16"/>
  <c r="H70" i="16" s="1"/>
  <c r="E51" i="16"/>
  <c r="I50" i="16"/>
  <c r="H51" i="16"/>
  <c r="H58" i="16"/>
  <c r="H65" i="16" s="1"/>
  <c r="H50" i="16"/>
  <c r="H57" i="16"/>
  <c r="H64" i="16" s="1"/>
  <c r="I51" i="16"/>
  <c r="I58" i="16"/>
  <c r="I65" i="16" s="1"/>
  <c r="G50" i="16"/>
  <c r="G57" i="16"/>
  <c r="G64" i="16" s="1"/>
  <c r="F50" i="16"/>
  <c r="F57" i="16"/>
  <c r="F64" i="16" s="1"/>
  <c r="F51" i="16"/>
  <c r="F58" i="16"/>
  <c r="F65" i="16" s="1"/>
  <c r="G51" i="16"/>
  <c r="G58" i="16"/>
  <c r="G65" i="16" s="1"/>
  <c r="D57" i="16"/>
  <c r="D64" i="16" s="1"/>
  <c r="E57" i="16"/>
  <c r="E64" i="16" s="1"/>
  <c r="F26" i="16"/>
  <c r="F33" i="16" s="1"/>
  <c r="G26" i="16"/>
  <c r="G33" i="16" s="1"/>
  <c r="I26" i="16"/>
  <c r="I33" i="16" s="1"/>
  <c r="E26" i="16"/>
  <c r="E33" i="16" s="1"/>
  <c r="D26" i="16"/>
  <c r="D33" i="16" s="1"/>
  <c r="D40" i="16" s="1"/>
  <c r="H26" i="16"/>
  <c r="H33" i="16" s="1"/>
  <c r="C18" i="16"/>
  <c r="C25" i="16" s="1"/>
  <c r="C32" i="16" s="1"/>
  <c r="C39" i="16" s="1"/>
  <c r="C46" i="16" s="1"/>
  <c r="C53" i="16" s="1"/>
  <c r="C60" i="16" s="1"/>
  <c r="C67" i="16" s="1"/>
  <c r="E24" i="11"/>
  <c r="N10" i="3"/>
  <c r="M10" i="3"/>
  <c r="M9" i="3"/>
  <c r="N9" i="3"/>
  <c r="N39" i="3"/>
  <c r="M39" i="3"/>
  <c r="M41" i="3"/>
  <c r="N41" i="3"/>
  <c r="Q37" i="3"/>
  <c r="Q36" i="3"/>
  <c r="M40" i="3"/>
  <c r="N40" i="3"/>
  <c r="Q33" i="3"/>
  <c r="Q32" i="3"/>
  <c r="N34" i="3"/>
  <c r="M34" i="3"/>
  <c r="C37" i="7"/>
  <c r="M22" i="3"/>
  <c r="N22" i="3"/>
  <c r="Q20" i="3"/>
  <c r="M21" i="3"/>
  <c r="N21" i="3"/>
  <c r="Q19" i="3"/>
  <c r="Q24" i="3"/>
  <c r="N24" i="3"/>
  <c r="M24" i="3"/>
  <c r="Q23" i="3"/>
  <c r="G19" i="7"/>
  <c r="N12" i="3"/>
  <c r="M12" i="3"/>
  <c r="N14" i="3"/>
  <c r="M14" i="3"/>
  <c r="G89" i="6"/>
  <c r="G80" i="6"/>
  <c r="F24" i="11"/>
  <c r="Q18" i="9"/>
  <c r="S18" i="9" s="1"/>
  <c r="H24" i="11"/>
  <c r="D78" i="6"/>
  <c r="D87" i="6"/>
  <c r="E90" i="6"/>
  <c r="E81" i="6"/>
  <c r="G24" i="11"/>
  <c r="M28" i="8"/>
  <c r="F81" i="6"/>
  <c r="F90" i="6"/>
  <c r="F44" i="11"/>
  <c r="F45" i="11"/>
  <c r="F40" i="11"/>
  <c r="F48" i="11" s="1"/>
  <c r="F42" i="11"/>
  <c r="F38" i="11"/>
  <c r="C50" i="14"/>
  <c r="F50" i="14"/>
  <c r="N7" i="3"/>
  <c r="M7" i="3"/>
  <c r="B6" i="1"/>
  <c r="B5" i="1"/>
  <c r="F85" i="6"/>
  <c r="F76" i="6"/>
  <c r="C90" i="6"/>
  <c r="C81" i="6"/>
  <c r="E78" i="6"/>
  <c r="E87" i="6"/>
  <c r="Q12" i="9"/>
  <c r="S12" i="9" s="1"/>
  <c r="Q7" i="3"/>
  <c r="N8" i="3"/>
  <c r="Q6" i="3"/>
  <c r="M8" i="3"/>
  <c r="K45" i="11"/>
  <c r="K38" i="11"/>
  <c r="K42" i="11"/>
  <c r="K44" i="11"/>
  <c r="K40" i="11"/>
  <c r="K48" i="11" s="1"/>
  <c r="D90" i="6"/>
  <c r="D81" i="6"/>
  <c r="P15" i="9"/>
  <c r="E86" i="6"/>
  <c r="E77" i="6"/>
  <c r="P12" i="9"/>
  <c r="G50" i="8"/>
  <c r="G86" i="6"/>
  <c r="G77" i="6"/>
  <c r="D51" i="14"/>
  <c r="B52" i="14"/>
  <c r="Q11" i="3"/>
  <c r="Q10" i="3"/>
  <c r="M11" i="3"/>
  <c r="N11" i="3"/>
  <c r="M35" i="3"/>
  <c r="N35" i="3"/>
  <c r="G78" i="6"/>
  <c r="G87" i="6"/>
  <c r="C87" i="6"/>
  <c r="C78" i="6"/>
  <c r="F78" i="6"/>
  <c r="F87" i="6"/>
  <c r="G81" i="6"/>
  <c r="G90" i="6"/>
  <c r="J24" i="11"/>
  <c r="F89" i="6"/>
  <c r="F80" i="6"/>
  <c r="M33" i="3"/>
  <c r="N33" i="3"/>
  <c r="I24" i="11"/>
  <c r="P16" i="9"/>
  <c r="P17" i="9"/>
  <c r="F86" i="6"/>
  <c r="F77" i="6"/>
  <c r="D86" i="6"/>
  <c r="D77" i="6"/>
  <c r="E44" i="11"/>
  <c r="E45" i="11"/>
  <c r="E42" i="11"/>
  <c r="E40" i="11"/>
  <c r="E48" i="11" s="1"/>
  <c r="E38" i="11"/>
  <c r="C88" i="6"/>
  <c r="C79" i="6"/>
  <c r="J50" i="8"/>
  <c r="Q16" i="9"/>
  <c r="S16" i="9" s="1"/>
  <c r="Q17" i="9"/>
  <c r="S17" i="9" s="1"/>
  <c r="G76" i="6"/>
  <c r="G85" i="6"/>
  <c r="D85" i="6"/>
  <c r="D76" i="6"/>
  <c r="G31" i="7" l="1"/>
  <c r="K24" i="7"/>
  <c r="G33" i="7"/>
  <c r="G34" i="7" s="1"/>
  <c r="G37" i="7"/>
  <c r="C38" i="7"/>
  <c r="G28" i="8"/>
  <c r="G38" i="7"/>
  <c r="G39" i="7"/>
  <c r="E34" i="16"/>
  <c r="E41" i="16" s="1"/>
  <c r="E69" i="16" s="1"/>
  <c r="D34" i="16"/>
  <c r="D41" i="16" s="1"/>
  <c r="I34" i="16"/>
  <c r="I41" i="16" s="1"/>
  <c r="I69" i="16" s="1"/>
  <c r="F41" i="16"/>
  <c r="F69" i="16" s="1"/>
  <c r="E50" i="16"/>
  <c r="H55" i="16"/>
  <c r="H62" i="16" s="1"/>
  <c r="D50" i="16"/>
  <c r="G56" i="16"/>
  <c r="G63" i="16" s="1"/>
  <c r="I56" i="16"/>
  <c r="I63" i="16" s="1"/>
  <c r="E56" i="16"/>
  <c r="E63" i="16" s="1"/>
  <c r="H56" i="16"/>
  <c r="H63" i="16" s="1"/>
  <c r="D68" i="16"/>
  <c r="E40" i="16"/>
  <c r="E68" i="16" s="1"/>
  <c r="H40" i="16"/>
  <c r="H68" i="16" s="1"/>
  <c r="I25" i="16"/>
  <c r="F25" i="16"/>
  <c r="H25" i="16"/>
  <c r="G25" i="16"/>
  <c r="E25" i="16"/>
  <c r="I40" i="16"/>
  <c r="I68" i="16" s="1"/>
  <c r="G40" i="16"/>
  <c r="G68" i="16" s="1"/>
  <c r="F40" i="16"/>
  <c r="F68" i="16" s="1"/>
  <c r="D25" i="16"/>
  <c r="F51" i="14"/>
  <c r="C51" i="14"/>
  <c r="J28" i="1"/>
  <c r="K28" i="1" s="1"/>
  <c r="J26" i="1"/>
  <c r="K26" i="1" s="1"/>
  <c r="J24" i="1"/>
  <c r="K24" i="1" s="1"/>
  <c r="J22" i="1"/>
  <c r="K22" i="1" s="1"/>
  <c r="J20" i="1"/>
  <c r="K20" i="1" s="1"/>
  <c r="J18" i="1"/>
  <c r="K18" i="1" s="1"/>
  <c r="J16" i="1"/>
  <c r="K16" i="1" s="1"/>
  <c r="J29" i="1"/>
  <c r="K29" i="1" s="1"/>
  <c r="J27" i="1"/>
  <c r="K27" i="1" s="1"/>
  <c r="J25" i="1"/>
  <c r="K25" i="1" s="1"/>
  <c r="J23" i="1"/>
  <c r="K23" i="1" s="1"/>
  <c r="J21" i="1"/>
  <c r="K21" i="1" s="1"/>
  <c r="J19" i="1"/>
  <c r="K19" i="1" s="1"/>
  <c r="J17" i="1"/>
  <c r="K17" i="1" s="1"/>
  <c r="B53" i="14"/>
  <c r="D52" i="14"/>
  <c r="B11" i="1"/>
  <c r="E2" i="1" s="1"/>
  <c r="D39" i="16" l="1"/>
  <c r="D67" i="16" s="1"/>
  <c r="D32" i="16"/>
  <c r="E39" i="16"/>
  <c r="E67" i="16" s="1"/>
  <c r="E32" i="16"/>
  <c r="H39" i="16"/>
  <c r="H67" i="16" s="1"/>
  <c r="H32" i="16"/>
  <c r="F39" i="16"/>
  <c r="F67" i="16" s="1"/>
  <c r="F32" i="16"/>
  <c r="G39" i="16"/>
  <c r="G67" i="16" s="1"/>
  <c r="G32" i="16"/>
  <c r="I39" i="16"/>
  <c r="I67" i="16" s="1"/>
  <c r="I32" i="16"/>
  <c r="D69" i="16"/>
  <c r="D55" i="16"/>
  <c r="D62" i="16" s="1"/>
  <c r="G48" i="16"/>
  <c r="G55" i="16"/>
  <c r="G62" i="16" s="1"/>
  <c r="H48" i="16"/>
  <c r="F48" i="16"/>
  <c r="F55" i="16"/>
  <c r="F62" i="16" s="1"/>
  <c r="I48" i="16"/>
  <c r="I55" i="16"/>
  <c r="I62" i="16" s="1"/>
  <c r="D48" i="16"/>
  <c r="E48" i="16"/>
  <c r="E55" i="16"/>
  <c r="E62" i="16" s="1"/>
  <c r="I49" i="16"/>
  <c r="H49" i="16"/>
  <c r="G49" i="16"/>
  <c r="D49" i="16"/>
  <c r="D56" i="16"/>
  <c r="D63" i="16" s="1"/>
  <c r="F49" i="16"/>
  <c r="F56" i="16"/>
  <c r="F63" i="16" s="1"/>
  <c r="E49" i="16"/>
  <c r="E54" i="16"/>
  <c r="E61" i="16" s="1"/>
  <c r="I54" i="16"/>
  <c r="I61" i="16" s="1"/>
  <c r="L20" i="1"/>
  <c r="N20" i="1"/>
  <c r="M20" i="1"/>
  <c r="N21" i="1"/>
  <c r="M21" i="1"/>
  <c r="L21" i="1"/>
  <c r="N27" i="1"/>
  <c r="M27" i="1"/>
  <c r="L27" i="1"/>
  <c r="O27" i="1" s="1"/>
  <c r="P27" i="1" s="1"/>
  <c r="L24" i="1"/>
  <c r="N24" i="1"/>
  <c r="M24" i="1"/>
  <c r="N17" i="1"/>
  <c r="M17" i="1"/>
  <c r="L17" i="1"/>
  <c r="N25" i="1"/>
  <c r="M25" i="1"/>
  <c r="L25" i="1"/>
  <c r="L16" i="1"/>
  <c r="N16" i="1"/>
  <c r="M16" i="1"/>
  <c r="L22" i="1"/>
  <c r="M22" i="1"/>
  <c r="N22" i="1"/>
  <c r="L28" i="1"/>
  <c r="N28" i="1"/>
  <c r="M28" i="1"/>
  <c r="F52" i="14"/>
  <c r="C52" i="14"/>
  <c r="N19" i="1"/>
  <c r="M19" i="1"/>
  <c r="L19" i="1"/>
  <c r="N23" i="1"/>
  <c r="M23" i="1"/>
  <c r="L23" i="1"/>
  <c r="O23" i="1" s="1"/>
  <c r="P23" i="1" s="1"/>
  <c r="N29" i="1"/>
  <c r="M29" i="1"/>
  <c r="L29" i="1"/>
  <c r="O29" i="1" s="1"/>
  <c r="P29" i="1" s="1"/>
  <c r="L18" i="1"/>
  <c r="N18" i="1"/>
  <c r="M18" i="1"/>
  <c r="L26" i="1"/>
  <c r="N26" i="1"/>
  <c r="M26" i="1"/>
  <c r="B54" i="14"/>
  <c r="D53" i="14"/>
  <c r="O21" i="1" l="1"/>
  <c r="P21" i="1" s="1"/>
  <c r="O19" i="1"/>
  <c r="P19" i="1" s="1"/>
  <c r="O17" i="1"/>
  <c r="O30" i="1" s="1"/>
  <c r="H47" i="16"/>
  <c r="H54" i="16"/>
  <c r="H61" i="16" s="1"/>
  <c r="G47" i="16"/>
  <c r="G54" i="16"/>
  <c r="G61" i="16" s="1"/>
  <c r="F47" i="16"/>
  <c r="F54" i="16"/>
  <c r="F61" i="16" s="1"/>
  <c r="D47" i="16"/>
  <c r="D54" i="16"/>
  <c r="D61" i="16" s="1"/>
  <c r="E47" i="16"/>
  <c r="I47" i="16"/>
  <c r="D53" i="16"/>
  <c r="D60" i="16" s="1"/>
  <c r="F53" i="16"/>
  <c r="F60" i="16" s="1"/>
  <c r="G53" i="16"/>
  <c r="G60" i="16" s="1"/>
  <c r="O28" i="1"/>
  <c r="P28" i="1" s="1"/>
  <c r="O18" i="1"/>
  <c r="P18" i="1" s="1"/>
  <c r="F53" i="14"/>
  <c r="C53" i="14"/>
  <c r="O26" i="1"/>
  <c r="P26" i="1" s="1"/>
  <c r="B55" i="14"/>
  <c r="D54" i="14"/>
  <c r="O24" i="1"/>
  <c r="P24" i="1" s="1"/>
  <c r="O22" i="1"/>
  <c r="P22" i="1" s="1"/>
  <c r="O16" i="1"/>
  <c r="P16" i="1" s="1"/>
  <c r="O25" i="1"/>
  <c r="P25" i="1" s="1"/>
  <c r="O20" i="1"/>
  <c r="P20" i="1" s="1"/>
  <c r="P17" i="1" l="1"/>
  <c r="P30" i="1" s="1"/>
  <c r="F46" i="16"/>
  <c r="D46" i="16"/>
  <c r="H46" i="16"/>
  <c r="H53" i="16"/>
  <c r="H60" i="16" s="1"/>
  <c r="G46" i="16"/>
  <c r="E46" i="16"/>
  <c r="E53" i="16"/>
  <c r="E60" i="16" s="1"/>
  <c r="I46" i="16"/>
  <c r="I53" i="16"/>
  <c r="I60" i="16" s="1"/>
  <c r="C54" i="14"/>
  <c r="F54" i="14"/>
  <c r="B56" i="14"/>
  <c r="D55" i="14"/>
  <c r="F55" i="14" l="1"/>
  <c r="C55" i="14"/>
  <c r="D56" i="14"/>
  <c r="B57" i="14"/>
  <c r="D57" i="14" l="1"/>
  <c r="B58" i="14"/>
  <c r="F56" i="14"/>
  <c r="C56" i="14"/>
  <c r="G55" i="14"/>
  <c r="H55" i="14" s="1"/>
  <c r="B59" i="14" l="1"/>
  <c r="D58" i="14"/>
  <c r="G45" i="14"/>
  <c r="H45" i="14" s="1"/>
  <c r="G44" i="14"/>
  <c r="H44" i="14" s="1"/>
  <c r="G46" i="14"/>
  <c r="H46" i="14" s="1"/>
  <c r="G43" i="14"/>
  <c r="H43" i="14" s="1"/>
  <c r="G47" i="14"/>
  <c r="H47" i="14" s="1"/>
  <c r="G48" i="14"/>
  <c r="H48" i="14" s="1"/>
  <c r="G49" i="14"/>
  <c r="H49" i="14" s="1"/>
  <c r="G50" i="14"/>
  <c r="H50" i="14" s="1"/>
  <c r="G51" i="14"/>
  <c r="H51" i="14" s="1"/>
  <c r="G52" i="14"/>
  <c r="H52" i="14" s="1"/>
  <c r="G53" i="14"/>
  <c r="H53" i="14" s="1"/>
  <c r="G54" i="14"/>
  <c r="H54" i="14" s="1"/>
  <c r="C57" i="14"/>
  <c r="F57" i="14"/>
  <c r="G57" i="14" s="1"/>
  <c r="H57" i="14" s="1"/>
  <c r="C58" i="14" l="1"/>
  <c r="F58" i="14"/>
  <c r="G58" i="14" s="1"/>
  <c r="H58" i="14" s="1"/>
  <c r="B60" i="14"/>
  <c r="D59" i="14"/>
  <c r="F59" i="14" l="1"/>
  <c r="G59" i="14" s="1"/>
  <c r="H59" i="14" s="1"/>
  <c r="C59" i="14"/>
  <c r="D60" i="14"/>
  <c r="B61" i="14"/>
  <c r="D61" i="14" l="1"/>
  <c r="B62" i="14"/>
  <c r="F60" i="14"/>
  <c r="G60" i="14" s="1"/>
  <c r="H60" i="14" s="1"/>
  <c r="C60" i="14"/>
  <c r="B63" i="14" l="1"/>
  <c r="D62" i="14"/>
  <c r="F61" i="14"/>
  <c r="G61" i="14" s="1"/>
  <c r="H61" i="14" s="1"/>
  <c r="C61" i="14"/>
  <c r="F62" i="14" l="1"/>
  <c r="G62" i="14" s="1"/>
  <c r="H62" i="14" s="1"/>
  <c r="C62" i="14"/>
  <c r="D63" i="14"/>
  <c r="B64" i="14"/>
  <c r="B65" i="14" l="1"/>
  <c r="D64" i="14"/>
  <c r="F63" i="14"/>
  <c r="G63" i="14" s="1"/>
  <c r="H63" i="14" s="1"/>
  <c r="C63" i="14"/>
  <c r="F64" i="14" l="1"/>
  <c r="G64" i="14" s="1"/>
  <c r="H64" i="14" s="1"/>
  <c r="C64" i="14"/>
  <c r="B66" i="14"/>
  <c r="D65" i="14"/>
  <c r="F65" i="14" l="1"/>
  <c r="G65" i="14" s="1"/>
  <c r="H65" i="14" s="1"/>
  <c r="C65" i="14"/>
  <c r="B67" i="14"/>
  <c r="D66" i="14"/>
  <c r="C66" i="14" l="1"/>
  <c r="F66" i="14"/>
  <c r="G66" i="14" s="1"/>
  <c r="H66" i="14" s="1"/>
  <c r="B68" i="14"/>
  <c r="D67" i="14"/>
  <c r="F67" i="14" l="1"/>
  <c r="G67" i="14" s="1"/>
  <c r="H67" i="14" s="1"/>
  <c r="C67" i="14"/>
  <c r="B69" i="14"/>
  <c r="D68" i="14"/>
  <c r="F68" i="14" l="1"/>
  <c r="G68" i="14" s="1"/>
  <c r="H68" i="14" s="1"/>
  <c r="C68" i="14"/>
  <c r="B70" i="14"/>
  <c r="D69" i="14"/>
  <c r="F69" i="14" l="1"/>
  <c r="G69" i="14" s="1"/>
  <c r="H69" i="14" s="1"/>
  <c r="C69" i="14"/>
  <c r="B71" i="14"/>
  <c r="D70" i="14"/>
  <c r="C70" i="14" l="1"/>
  <c r="F70" i="14"/>
  <c r="G70" i="14" s="1"/>
  <c r="H70" i="14" s="1"/>
  <c r="B72" i="14"/>
  <c r="D71" i="14"/>
  <c r="D72" i="14" l="1"/>
  <c r="B73" i="14"/>
  <c r="F71" i="14"/>
  <c r="G71" i="14" s="1"/>
  <c r="H71" i="14" s="1"/>
  <c r="C71" i="14"/>
  <c r="D73" i="14" l="1"/>
  <c r="B74" i="14"/>
  <c r="F72" i="14"/>
  <c r="G72" i="14" s="1"/>
  <c r="H72" i="14" s="1"/>
  <c r="C72" i="14"/>
  <c r="B75" i="14" l="1"/>
  <c r="D74" i="14"/>
  <c r="C73" i="14"/>
  <c r="F73" i="14"/>
  <c r="G73" i="14" s="1"/>
  <c r="H73" i="14" s="1"/>
  <c r="C74" i="14" l="1"/>
  <c r="F74" i="14"/>
  <c r="G74" i="14" s="1"/>
  <c r="H74" i="14" s="1"/>
  <c r="B76" i="14"/>
  <c r="D75" i="14"/>
  <c r="F75" i="14" l="1"/>
  <c r="G75" i="14" s="1"/>
  <c r="H75" i="14" s="1"/>
  <c r="C75" i="14"/>
  <c r="D76" i="14"/>
  <c r="B77" i="14"/>
  <c r="D77" i="14" l="1"/>
  <c r="B78" i="14"/>
  <c r="F76" i="14"/>
  <c r="G76" i="14" s="1"/>
  <c r="H76" i="14" s="1"/>
  <c r="C76" i="14"/>
  <c r="B79" i="14" l="1"/>
  <c r="D78" i="14"/>
  <c r="F77" i="14"/>
  <c r="G77" i="14" s="1"/>
  <c r="H77" i="14" s="1"/>
  <c r="C77" i="14"/>
  <c r="F78" i="14" l="1"/>
  <c r="G78" i="14" s="1"/>
  <c r="H78" i="14" s="1"/>
  <c r="C78" i="14"/>
  <c r="B80" i="14"/>
  <c r="D79" i="14"/>
  <c r="F79" i="14" l="1"/>
  <c r="G79" i="14" s="1"/>
  <c r="H79" i="14" s="1"/>
  <c r="C79" i="14"/>
  <c r="B81" i="14"/>
  <c r="D80" i="14"/>
  <c r="F80" i="14" l="1"/>
  <c r="G80" i="14" s="1"/>
  <c r="H80" i="14" s="1"/>
  <c r="C80" i="14"/>
  <c r="B82" i="14"/>
  <c r="D81" i="14"/>
  <c r="F81" i="14" l="1"/>
  <c r="G81" i="14" s="1"/>
  <c r="H81" i="14" s="1"/>
  <c r="C81" i="14"/>
  <c r="B83" i="14"/>
  <c r="D82" i="14"/>
  <c r="C82" i="14" l="1"/>
  <c r="F82" i="14"/>
  <c r="G82" i="14" s="1"/>
  <c r="H82" i="14" s="1"/>
  <c r="B84" i="14"/>
  <c r="D83" i="14"/>
  <c r="F83" i="14" l="1"/>
  <c r="G83" i="14" s="1"/>
  <c r="H83" i="14" s="1"/>
  <c r="C83" i="14"/>
  <c r="B85" i="14"/>
  <c r="D84" i="14"/>
  <c r="F84" i="14" l="1"/>
  <c r="G84" i="14" s="1"/>
  <c r="H84" i="14" s="1"/>
  <c r="C84" i="14"/>
  <c r="B86" i="14"/>
  <c r="D86" i="14" s="1"/>
  <c r="D85" i="14"/>
  <c r="F85" i="14" l="1"/>
  <c r="G85" i="14" s="1"/>
  <c r="H85" i="14" s="1"/>
  <c r="C85" i="14"/>
  <c r="C86" i="14"/>
  <c r="F86" i="14"/>
  <c r="G86" i="14" s="1"/>
  <c r="H86" i="14" s="1"/>
</calcChain>
</file>

<file path=xl/sharedStrings.xml><?xml version="1.0" encoding="utf-8"?>
<sst xmlns="http://schemas.openxmlformats.org/spreadsheetml/2006/main" count="1281" uniqueCount="459">
  <si>
    <t>16 panels</t>
  </si>
  <si>
    <t>para/ser</t>
  </si>
  <si>
    <t>Vmpp (MPP volts)</t>
  </si>
  <si>
    <t>assumes power supply has fixed voltage and can supply unlimited current</t>
  </si>
  <si>
    <t>key:</t>
  </si>
  <si>
    <t>Impp (MPP amps)</t>
  </si>
  <si>
    <t>used to calculate load resistance, asumes resistive load that does not change with current or voltage</t>
  </si>
  <si>
    <t>panels:</t>
  </si>
  <si>
    <t>Rmpp (MPP load ohms)</t>
  </si>
  <si>
    <t>panel load at maximum power point</t>
  </si>
  <si>
    <t>parallel:</t>
  </si>
  <si>
    <t>Wmpp (MPP load watts)</t>
  </si>
  <si>
    <t>panel watts produced at maximum power point</t>
  </si>
  <si>
    <t>series:</t>
  </si>
  <si>
    <t>Voc (open-circuit volts)</t>
  </si>
  <si>
    <t>no-load (solar panel) supply voltage (must be less than controller Vmax)</t>
  </si>
  <si>
    <t>wire (feet)</t>
  </si>
  <si>
    <t>length of twin-lead ONE WAY (wire resitance will be calculated with double that)</t>
  </si>
  <si>
    <t>total wire (feet)</t>
  </si>
  <si>
    <t>amps at 13.8v</t>
  </si>
  <si>
    <t>conductor</t>
  </si>
  <si>
    <t>res measure</t>
  </si>
  <si>
    <t>wire</t>
  </si>
  <si>
    <t>load</t>
  </si>
  <si>
    <t>total</t>
  </si>
  <si>
    <t>wire drop</t>
  </si>
  <si>
    <t>load drop</t>
  </si>
  <si>
    <t>efficiency</t>
  </si>
  <si>
    <t>awg</t>
  </si>
  <si>
    <t>metal</t>
  </si>
  <si>
    <t>ohms/km</t>
  </si>
  <si>
    <t>ohms/ft</t>
  </si>
  <si>
    <t>ohms/kft</t>
  </si>
  <si>
    <t>source</t>
  </si>
  <si>
    <t>weight (lbs)</t>
  </si>
  <si>
    <t>ohms</t>
  </si>
  <si>
    <t>amps</t>
  </si>
  <si>
    <t>volts</t>
  </si>
  <si>
    <t>watts</t>
  </si>
  <si>
    <t>pct</t>
  </si>
  <si>
    <t>CU</t>
  </si>
  <si>
    <t>book/test</t>
  </si>
  <si>
    <t>A</t>
  </si>
  <si>
    <t>marked as 8ga, resistance indicates 7ga within 1%</t>
  </si>
  <si>
    <t>book</t>
  </si>
  <si>
    <t>CCA</t>
  </si>
  <si>
    <t>test</t>
  </si>
  <si>
    <t>cheap 8ga CCA, very close to 10ga CU</t>
  </si>
  <si>
    <t>10ga CU twin lead, resistance is 7% higher than book</t>
  </si>
  <si>
    <t>marked as 10ga, tests more like 12+, possibly a poor CU alloy</t>
  </si>
  <si>
    <t>120vac ext cord marked as 12ga, tests a bit thinner</t>
  </si>
  <si>
    <t>B</t>
  </si>
  <si>
    <t>I use this cheap CCA a lot for jumpers and long low current runs</t>
  </si>
  <si>
    <t>I use this thinner CU for low current jumpers</t>
  </si>
  <si>
    <t>loss by switching from 8ga CU to 10ga CCA</t>
  </si>
  <si>
    <t>cost to switch from 10ga CCU to 8ga CU</t>
  </si>
  <si>
    <t>wire resistance test measurements using "four wire" (Kelvin) constant current technique:</t>
  </si>
  <si>
    <t>size</t>
  </si>
  <si>
    <t>twin lead</t>
  </si>
  <si>
    <t>gross weight</t>
  </si>
  <si>
    <t>current</t>
  </si>
  <si>
    <t>drop</t>
  </si>
  <si>
    <t>single lead</t>
  </si>
  <si>
    <t>material</t>
  </si>
  <si>
    <t>feet</t>
  </si>
  <si>
    <t>lbs</t>
  </si>
  <si>
    <t>ohms/foot</t>
  </si>
  <si>
    <t>brand</t>
  </si>
  <si>
    <t>wire run being tested</t>
  </si>
  <si>
    <t>TEMCo</t>
  </si>
  <si>
    <t>6ga CU single lead welding cable</t>
  </si>
  <si>
    <t>Sky-High Audio</t>
  </si>
  <si>
    <t>this "8 gauge" CU twin lead's resistance exactly matches 7ga</t>
  </si>
  <si>
    <t>10ga CU twin lead, has slightly higher resistance / lower weight than expected</t>
  </si>
  <si>
    <t>retest</t>
  </si>
  <si>
    <t>10ga CU twin lead</t>
  </si>
  <si>
    <t>AudioPipe</t>
  </si>
  <si>
    <t>two 12ft sections of  8ga CCA single lead in series, includes an SB-50 couplings</t>
  </si>
  <si>
    <t>this 10ga CU twin lead is noticeably thinner than typical 10ga and resistance suggests slightly thinner than 12ga</t>
  </si>
  <si>
    <t>Powerwerx</t>
  </si>
  <si>
    <t>dark red twin lead, stranded but very high strand count so not as flexible, size more like #11, high resistance for #10</t>
  </si>
  <si>
    <t>Southwire</t>
  </si>
  <si>
    <t>pink 100ft exension cord.  seems to be 13ga or not pure copper</t>
  </si>
  <si>
    <t>I use this 10ga CCA twin-lead for most of my medium-current jumpers</t>
  </si>
  <si>
    <t>Amazon</t>
  </si>
  <si>
    <t>I use this 16ga CU twin-lead ("lamp cord / speaker wire") for my low-current jumpers</t>
  </si>
  <si>
    <t>- calculating twin-lead wire resistance one-way (off by a factor of 2)</t>
  </si>
  <si>
    <t>- assuming load power will not decrease with an increase in line resistance (only considering power loss, but not including loss of DEMAND due to voltage drop)</t>
  </si>
  <si>
    <t>- measuring too short of a piece of wire (poor precision)</t>
  </si>
  <si>
    <t>- solar panel voltage will rise in a non-linear way when load resistance is increased by inserting transmission wire, but this can be ignored because the solar controller will respond by lowering its resistance to maintain the maximum power point</t>
  </si>
  <si>
    <t>- including end connectors in voltage-drop measurements</t>
  </si>
  <si>
    <t>Evaluate solar panel power loss using various distribution wires and various loads</t>
  </si>
  <si>
    <t>poor solar</t>
  </si>
  <si>
    <t>round trip</t>
  </si>
  <si>
    <t>delivered</t>
  </si>
  <si>
    <t>solar</t>
  </si>
  <si>
    <t>2023 prices</t>
  </si>
  <si>
    <t>dist line</t>
  </si>
  <si>
    <t>power</t>
  </si>
  <si>
    <t>volts:</t>
  </si>
  <si>
    <t>50' #6 CU</t>
  </si>
  <si>
    <t>amps:</t>
  </si>
  <si>
    <t>100' #8(7) CU</t>
  </si>
  <si>
    <t>100' #10 CU</t>
  </si>
  <si>
    <t>watts:</t>
  </si>
  <si>
    <t>100' #10 CCA</t>
  </si>
  <si>
    <t>average solar</t>
  </si>
  <si>
    <t>better solar</t>
  </si>
  <si>
    <t>high solar</t>
  </si>
  <si>
    <t>Evaluate charge power loss using various distribution wires at various loads</t>
  </si>
  <si>
    <t>adjusted</t>
  </si>
  <si>
    <t>battery</t>
  </si>
  <si>
    <t>charge</t>
  </si>
  <si>
    <t>low charge</t>
  </si>
  <si>
    <t>#10CCA-&gt;#8CU</t>
  </si>
  <si>
    <t>more watts</t>
  </si>
  <si>
    <t>performance</t>
  </si>
  <si>
    <t>added expense</t>
  </si>
  <si>
    <t>batt volts:</t>
  </si>
  <si>
    <t>charge volts:</t>
  </si>
  <si>
    <t>#10CCA-&gt;#10CU</t>
  </si>
  <si>
    <t>wire Rstop</t>
  </si>
  <si>
    <t>medium charge</t>
  </si>
  <si>
    <t>high charge</t>
  </si>
  <si>
    <t>Analyze charging with my different dist lines</t>
  </si>
  <si>
    <t>total RT ohms</t>
  </si>
  <si>
    <t>25' #10 CU</t>
  </si>
  <si>
    <t>Volts:</t>
  </si>
  <si>
    <t>battery resistance</t>
  </si>
  <si>
    <t>direct-connected charge power</t>
  </si>
  <si>
    <t>wire resistance</t>
  </si>
  <si>
    <t>total resitance</t>
  </si>
  <si>
    <t>wire current</t>
  </si>
  <si>
    <t>wire-delivered charge power</t>
  </si>
  <si>
    <t>wire charge power effectiveness</t>
  </si>
  <si>
    <t>power lost as wire heat</t>
  </si>
  <si>
    <t>Analyze charging with varying wire gauges and lengths</t>
  </si>
  <si>
    <t>Gauge:</t>
  </si>
  <si>
    <t>total resistance</t>
  </si>
  <si>
    <t>Analyze charging with varying wire lengths</t>
  </si>
  <si>
    <t>measured resistance of wire, one way, with connectors</t>
  </si>
  <si>
    <t>average resistance of wire in ohms/foot (one way)</t>
  </si>
  <si>
    <t>voltage at charger</t>
  </si>
  <si>
    <t>measurements when battery would draw various levels of current directly, when connected with varying wire lengths</t>
  </si>
  <si>
    <t>charge demand ("load")</t>
  </si>
  <si>
    <t>(ohms)</t>
  </si>
  <si>
    <t>charge demand</t>
  </si>
  <si>
    <t>(watts)</t>
  </si>
  <si>
    <t>actual current draw</t>
  </si>
  <si>
    <t>(amps)</t>
  </si>
  <si>
    <t>power delivered to battery</t>
  </si>
  <si>
    <t>power lost in wire</t>
  </si>
  <si>
    <t>charge efficiency</t>
  </si>
  <si>
    <t>(percent)</t>
  </si>
  <si>
    <t>initial charge speed</t>
  </si>
  <si>
    <t>Analyze power delivery with varyign single variable changes</t>
  </si>
  <si>
    <t>measured values:</t>
  </si>
  <si>
    <t>predicting shorter wire:</t>
  </si>
  <si>
    <t>predicting different parameters with same load:</t>
  </si>
  <si>
    <t>twin lead ft:</t>
  </si>
  <si>
    <t>load ohms:</t>
  </si>
  <si>
    <t>wire gauge:</t>
  </si>
  <si>
    <t>total ft:</t>
  </si>
  <si>
    <t>wire ohms:</t>
  </si>
  <si>
    <t>ohms:</t>
  </si>
  <si>
    <t>ohms/ft:</t>
  </si>
  <si>
    <t>wire volts:</t>
  </si>
  <si>
    <t>wire watts:</t>
  </si>
  <si>
    <t>load volts:</t>
  </si>
  <si>
    <t>load watts:</t>
  </si>
  <si>
    <t>efficiency:</t>
  </si>
  <si>
    <t>power-up:</t>
  </si>
  <si>
    <t>predicting heavier wire:</t>
  </si>
  <si>
    <t>predicting different voltage:</t>
  </si>
  <si>
    <t>Comparing CA and CCU performance at fixed voltage/gauge, with varied current and length</t>
  </si>
  <si>
    <t>fixed voltage:</t>
  </si>
  <si>
    <t>CU ohms/ft:</t>
  </si>
  <si>
    <t>feet:</t>
  </si>
  <si>
    <t>load amps:</t>
  </si>
  <si>
    <t>fixed gauge:</t>
  </si>
  <si>
    <t>CCA ohms/ft:</t>
  </si>
  <si>
    <t>CU:</t>
  </si>
  <si>
    <t>wire ohms/ft:</t>
  </si>
  <si>
    <t>CCA:</t>
  </si>
  <si>
    <t>Predicting how an adaptive load (such as a radio with a programmed output power) would react to being fed power through a high resistance delivery wire</t>
  </si>
  <si>
    <t>assumes purely resistive load that does not change with changes in voltage</t>
  </si>
  <si>
    <t>radios are not purely resistive, they adjust their resistance to maintain a constant power</t>
  </si>
  <si>
    <t>this drop in resistance causes an increase in current from the supply, which makes up for the loss in voltage</t>
  </si>
  <si>
    <t>radio (load) lowers its impedance, to increase current, to maintain power delivered</t>
  </si>
  <si>
    <t>0.3 feet for my PP45/SB50 adapters</t>
  </si>
  <si>
    <t>1 foot</t>
  </si>
  <si>
    <t>new</t>
  </si>
  <si>
    <t>gauge</t>
  </si>
  <si>
    <t>note</t>
  </si>
  <si>
    <t>voltage drop</t>
  </si>
  <si>
    <t>watt drop</t>
  </si>
  <si>
    <t>R(W)</t>
  </si>
  <si>
    <t>pct loss</t>
  </si>
  <si>
    <t>P</t>
  </si>
  <si>
    <t>R(L)</t>
  </si>
  <si>
    <t>I</t>
  </si>
  <si>
    <t>V(L)</t>
  </si>
  <si>
    <t>P(L)</t>
  </si>
  <si>
    <t>P(W)</t>
  </si>
  <si>
    <t>temco</t>
  </si>
  <si>
    <t>eq book</t>
  </si>
  <si>
    <t>sky high #8</t>
  </si>
  <si>
    <t>tests like #7</t>
  </si>
  <si>
    <t>book value</t>
  </si>
  <si>
    <t>standard</t>
  </si>
  <si>
    <t>audio pipe #8</t>
  </si>
  <si>
    <t>sky high #10</t>
  </si>
  <si>
    <t>tests like #10.1</t>
  </si>
  <si>
    <t>audip pipe #10</t>
  </si>
  <si>
    <t>my jumpers</t>
  </si>
  <si>
    <t>amazon #16</t>
  </si>
  <si>
    <t>my sm jumps</t>
  </si>
  <si>
    <t>the formula for new R(L) is disgustingly ugly, gotten from wolframalpha by asking it to</t>
  </si>
  <si>
    <t>solve w=power(v/(A+B),2)*A for A</t>
  </si>
  <si>
    <t>result:  A = (SQRT(POWER(V,4)-4*B*POWER(V,2)*W)-2*B*W+POWER(V,2))/(2*W)</t>
  </si>
  <si>
    <t>This to figure out the new load resistance to use following the addition of the wire resistance, such that load power remains unchanged</t>
  </si>
  <si>
    <t>the radio will of course just "seek" the output power it's been set to, but I can't DO that here with Excel</t>
  </si>
  <si>
    <t>it bothers me to be dependent on wolfram to generate formulas like that, but there's no way I could have solved that by myself</t>
  </si>
  <si>
    <t>tried to add this advanced formula, it's added but does not show up for some reason:</t>
  </si>
  <si>
    <t>(my version of excecl does not have LAMBDA)</t>
  </si>
  <si>
    <t>CompensateResistance</t>
  </si>
  <si>
    <t>provide new load resistance after adding series resistance, to maintain power consumption</t>
  </si>
  <si>
    <t>SupplyVolts,LoadWatts,SeriesOhms</t>
  </si>
  <si>
    <t xml:space="preserve"> =(SQRT(POWER(SupplyVolts,4)-4*SeriesOhms*POWER(SupplyVolts,2)*LoadWatts)-2*SeriesOhms*LoadWatts+POWER(SupplyVolts,2))/(2*LoadWatts)</t>
  </si>
  <si>
    <t>cost ea</t>
  </si>
  <si>
    <t>qty</t>
  </si>
  <si>
    <t>Cost / Benefit analysis of using heavier or lighter gauge wire under various load conditions</t>
  </si>
  <si>
    <t>purely resistive loads (heater, light, battery) do not change load resistance</t>
  </si>
  <si>
    <t>500w heater</t>
  </si>
  <si>
    <t>supply volts:</t>
  </si>
  <si>
    <t>supply volts is fixed for all comparisons</t>
  </si>
  <si>
    <t>charging FLA</t>
  </si>
  <si>
    <t>ideal watts:</t>
  </si>
  <si>
    <t>ideal watts with no distribution wire loss</t>
  </si>
  <si>
    <t>ideal amps:</t>
  </si>
  <si>
    <t>ideal amps with no distribution wire resistance</t>
  </si>
  <si>
    <t>12.5' #10 CU</t>
  </si>
  <si>
    <t>16' #10 CU</t>
  </si>
  <si>
    <t>50' #10 CU</t>
  </si>
  <si>
    <t>25' #10 CCA</t>
  </si>
  <si>
    <t>50' #10 CCA</t>
  </si>
  <si>
    <t>100' #12 CU</t>
  </si>
  <si>
    <t>supply amps:</t>
  </si>
  <si>
    <t>supply ohms:</t>
  </si>
  <si>
    <t>supply watts:</t>
  </si>
  <si>
    <t>cost</t>
  </si>
  <si>
    <t>constant demand loads (radio) adust load resistance to maintain load watts</t>
  </si>
  <si>
    <t>IC-7300 100w tx</t>
  </si>
  <si>
    <t>max watts:</t>
  </si>
  <si>
    <t>constant supply loads (solar controller) adjust load resistance to maintain supply watts</t>
  </si>
  <si>
    <t>Voc:</t>
  </si>
  <si>
    <t>Voltage (Open Circuit) for solar controller max panel voltage rating</t>
  </si>
  <si>
    <t>the load maintains a constant supply current regardless of changes in transmission line resistance</t>
  </si>
  <si>
    <t>wire gauge</t>
  </si>
  <si>
    <t>twin lead ft</t>
  </si>
  <si>
    <t>total ft</t>
  </si>
  <si>
    <t>supply amps</t>
  </si>
  <si>
    <t>supply ohms</t>
  </si>
  <si>
    <t>supply volts</t>
  </si>
  <si>
    <t>supply watts</t>
  </si>
  <si>
    <t>wire ohms</t>
  </si>
  <si>
    <t>wire volts</t>
  </si>
  <si>
    <t>wire watts</t>
  </si>
  <si>
    <t>max watts</t>
  </si>
  <si>
    <t>load ohms</t>
  </si>
  <si>
    <t>load volts</t>
  </si>
  <si>
    <t>load watts</t>
  </si>
  <si>
    <t>Weights of large wire spools</t>
  </si>
  <si>
    <t>lb</t>
  </si>
  <si>
    <t>ounce</t>
  </si>
  <si>
    <t>gross lbs</t>
  </si>
  <si>
    <t>overhead lbs</t>
  </si>
  <si>
    <t>net lbs</t>
  </si>
  <si>
    <t>lbs/ft</t>
  </si>
  <si>
    <t>book lbs/ft</t>
  </si>
  <si>
    <t>item</t>
  </si>
  <si>
    <t>empty heavy spool</t>
  </si>
  <si>
    <t>100ft 10ga CCA twin lead spool</t>
  </si>
  <si>
    <t>100ft 8ga OFC twin lead spool</t>
  </si>
  <si>
    <t>50ft 6ga OFC twin lead spool</t>
  </si>
  <si>
    <t>25ft 10ga twin lead OFC</t>
  </si>
  <si>
    <t>Flexible solar panel specs and cost</t>
  </si>
  <si>
    <t>Voc</t>
  </si>
  <si>
    <t>single panel specs</t>
  </si>
  <si>
    <t>len</t>
  </si>
  <si>
    <t>cost net</t>
  </si>
  <si>
    <t>ft</t>
  </si>
  <si>
    <t>per foot</t>
  </si>
  <si>
    <t>Vmpp</t>
  </si>
  <si>
    <t>Wmpp</t>
  </si>
  <si>
    <t>Impp</t>
  </si>
  <si>
    <t>ppb</t>
  </si>
  <si>
    <t>bag ct</t>
  </si>
  <si>
    <t>Vbatt</t>
  </si>
  <si>
    <t>battery charge voltage</t>
  </si>
  <si>
    <t>panels/string</t>
  </si>
  <si>
    <t>panel configuration</t>
  </si>
  <si>
    <t>parallel strings</t>
  </si>
  <si>
    <t>panel maximums at controller</t>
  </si>
  <si>
    <t>Ibatt</t>
  </si>
  <si>
    <t>battery maximums at controller</t>
  </si>
  <si>
    <t>panel specifications:</t>
  </si>
  <si>
    <t>specs are for 36 cell 100w flexible panels</t>
  </si>
  <si>
    <t>panel choices:</t>
  </si>
  <si>
    <t>combiner choices:</t>
  </si>
  <si>
    <t>constants:</t>
  </si>
  <si>
    <t>costs:</t>
  </si>
  <si>
    <t>Panel Voltage at Open Circuit</t>
  </si>
  <si>
    <t>1 panel</t>
  </si>
  <si>
    <t>parallel</t>
  </si>
  <si>
    <t>ft/km</t>
  </si>
  <si>
    <t>pp30 housings w/contacts</t>
  </si>
  <si>
    <t>Wmax</t>
  </si>
  <si>
    <t>Panel Watts at 1kw/m2 solar exposure</t>
  </si>
  <si>
    <t>2 panels</t>
  </si>
  <si>
    <t>mm/in</t>
  </si>
  <si>
    <t>pp30 3/4" heat shrink</t>
  </si>
  <si>
    <t>gathering all the pieces of the 25ft #10 from Powerwerks</t>
  </si>
  <si>
    <t>Panel Voltage at Maximum Power Point</t>
  </si>
  <si>
    <t>3 panels</t>
  </si>
  <si>
    <t>series</t>
  </si>
  <si>
    <t>mm^3/M^3</t>
  </si>
  <si>
    <t>sb50 end w/contacts</t>
  </si>
  <si>
    <t>(the "dark red" red/black twin lead I thought was so good)</t>
  </si>
  <si>
    <t>Panel Current at Maximum Power Point</t>
  </si>
  <si>
    <t>4 panels</t>
  </si>
  <si>
    <t>mm/ft</t>
  </si>
  <si>
    <t>heavy reel</t>
  </si>
  <si>
    <t>Panel Watts at Maximum Power Point</t>
  </si>
  <si>
    <t>8 panels</t>
  </si>
  <si>
    <t>lbs/kg</t>
  </si>
  <si>
    <t>sb50/pp30 adapter</t>
  </si>
  <si>
    <t>solar jumper</t>
  </si>
  <si>
    <t>Rmpp</t>
  </si>
  <si>
    <t>Load resistance at Maximum Power Point</t>
  </si>
  <si>
    <t>12 panels</t>
  </si>
  <si>
    <t>kg/M^3</t>
  </si>
  <si>
    <t>4ft 1in heat shrink</t>
  </si>
  <si>
    <t>supercap harness</t>
  </si>
  <si>
    <t>sb50 ends</t>
  </si>
  <si>
    <t>riden power</t>
  </si>
  <si>
    <t>pp30/45 housing+contacts+heat shrink</t>
  </si>
  <si>
    <t>total Powerwerx</t>
  </si>
  <si>
    <t>heavy reel with adapters</t>
  </si>
  <si>
    <t>#10 CCA by the foot</t>
  </si>
  <si>
    <t>panel combinations:</t>
  </si>
  <si>
    <t>copper wire "book values":</t>
  </si>
  <si>
    <t>copper rule</t>
  </si>
  <si>
    <t>CCA 70% rule</t>
  </si>
  <si>
    <t>panel</t>
  </si>
  <si>
    <t>combiner</t>
  </si>
  <si>
    <t>key</t>
  </si>
  <si>
    <t>panels</t>
  </si>
  <si>
    <t>CCA approx.</t>
  </si>
  <si>
    <t>5A/sq mm</t>
  </si>
  <si>
    <t>AWG</t>
  </si>
  <si>
    <t>ohms/1000ft</t>
  </si>
  <si>
    <t>lbs/1000ft</t>
  </si>
  <si>
    <t>mm diameter</t>
  </si>
  <si>
    <t>in diameter</t>
  </si>
  <si>
    <t>mm2 area</t>
  </si>
  <si>
    <t>ohms/km:</t>
  </si>
  <si>
    <t>twin lead distribution lines:  (sorted by RT resistance)</t>
  </si>
  <si>
    <t>identifier</t>
  </si>
  <si>
    <t>composition</t>
  </si>
  <si>
    <t>ohms (RT)</t>
  </si>
  <si>
    <t>store</t>
  </si>
  <si>
    <t>wire cost</t>
  </si>
  <si>
    <t>$/ft</t>
  </si>
  <si>
    <t>total cost</t>
  </si>
  <si>
    <t>pounds</t>
  </si>
  <si>
    <t>ampacity</t>
  </si>
  <si>
    <t>stored</t>
  </si>
  <si>
    <t>eBay</t>
  </si>
  <si>
    <t>Sky High</t>
  </si>
  <si>
    <t>wire box</t>
  </si>
  <si>
    <t>spool</t>
  </si>
  <si>
    <t>Diameter</t>
  </si>
  <si>
    <t>Cross-sec</t>
  </si>
  <si>
    <t>Resistance</t>
  </si>
  <si>
    <t>solid</t>
  </si>
  <si>
    <t>stranded</t>
  </si>
  <si>
    <t>Area</t>
  </si>
  <si>
    <t>(ohms per</t>
  </si>
  <si>
    <t>n/a</t>
  </si>
  <si>
    <t>(inches)</t>
  </si>
  <si>
    <t>(mm)</t>
  </si>
  <si>
    <t>(mm^2)</t>
  </si>
  <si>
    <t>1000ft)</t>
  </si>
  <si>
    <t>1000m)</t>
  </si>
  <si>
    <t>-3</t>
  </si>
  <si>
    <t>-2</t>
  </si>
  <si>
    <t>-1</t>
  </si>
  <si>
    <t>reel</t>
  </si>
  <si>
    <t>0</t>
  </si>
  <si>
    <t>twin lead distribution lines:  (sorted by wire conductivity, length)</t>
  </si>
  <si>
    <t>twin lead distribution lines:  (sorted by cost)</t>
  </si>
  <si>
    <t>twin lead wire: (sorted by value)</t>
  </si>
  <si>
    <t>using prices from August 2023</t>
  </si>
  <si>
    <t>value</t>
  </si>
  <si>
    <t>#6 CU</t>
  </si>
  <si>
    <t>#8(7) CU</t>
  </si>
  <si>
    <t>#10 CU</t>
  </si>
  <si>
    <t>#10 CCA</t>
  </si>
  <si>
    <t>(area and resistance of all other gauges are extrapolated from 10 gauge)</t>
  </si>
  <si>
    <t>#12 CU</t>
  </si>
  <si>
    <t>SouthWire</t>
  </si>
  <si>
    <t>#10(12) CU</t>
  </si>
  <si>
    <t>one pp30/45 coupling has about the same resistance as five feet of Sky High 10ga OFC</t>
  </si>
  <si>
    <t>using pricecs from date of first purchase</t>
  </si>
  <si>
    <t>date</t>
  </si>
  <si>
    <t>Ohms/ft:</t>
  </si>
  <si>
    <t>Analyze charging with varying wire types and lengths</t>
  </si>
  <si>
    <t>Charge Volts</t>
  </si>
  <si>
    <t>Float Volts:</t>
  </si>
  <si>
    <t>battery charging voltage</t>
  </si>
  <si>
    <t>charge current</t>
  </si>
  <si>
    <t>battery charge resistance</t>
  </si>
  <si>
    <t>adjusts how much charge current drops due to high line resistance</t>
  </si>
  <si>
    <t>adjusts how rapidly charge current drops due to low line resistance</t>
  </si>
  <si>
    <t>batt drop const:</t>
  </si>
  <si>
    <t>batt slope const:</t>
  </si>
  <si>
    <t>Reference Amps:</t>
  </si>
  <si>
    <t>barrel-to-barrel 6ft on ring</t>
  </si>
  <si>
    <t>barrel-to-powerpole 6ft on ring</t>
  </si>
  <si>
    <t>lugged barrel jack female 6in on ring</t>
  </si>
  <si>
    <t>powerpole 6in</t>
  </si>
  <si>
    <t>barrel pigtail 6ft on ring</t>
  </si>
  <si>
    <t>barrel on wallets is 2mm x 5.5mm</t>
  </si>
  <si>
    <t>barrel on 6ft pigtail (16AWG) is 2.5mm (springy) and will fit 2.0mm</t>
  </si>
  <si>
    <t>barrel on lug jacks is 2.5mm x 5.5mm (rigid) and will float 2.0mm</t>
  </si>
  <si>
    <t>measuring resistance on Powkey S60 powerpole to 5.5mm 5ft cable</t>
  </si>
  <si>
    <t>5.5mm barrel connected to 5.5mm plug for connection</t>
  </si>
  <si>
    <t>powerpole connected to blue (meterless) powerpole block</t>
  </si>
  <si>
    <t>test amps</t>
  </si>
  <si>
    <t>test feet one-way</t>
  </si>
  <si>
    <t>mV drop one way (positive)</t>
  </si>
  <si>
    <t>mV drop one way (negative)</t>
  </si>
  <si>
    <t>provided</t>
  </si>
  <si>
    <t>heavy duty</t>
  </si>
  <si>
    <t>one way</t>
  </si>
  <si>
    <t>watts max</t>
  </si>
  <si>
    <t>panel Vmpp</t>
  </si>
  <si>
    <t>panel Impp</t>
  </si>
  <si>
    <t>watts loss</t>
  </si>
  <si>
    <t>also comparing it with my heavy duty pigtail</t>
  </si>
  <si>
    <t>I wanted to believe that the heavy duty pigtail would provide a significant drop in power loss,</t>
  </si>
  <si>
    <t>but in reality at these low current levels and short distances, the savings (one watt?) don't matter.</t>
  </si>
  <si>
    <t>one-way</t>
  </si>
  <si>
    <t>inches</t>
  </si>
  <si>
    <t>wire length</t>
  </si>
  <si>
    <t>total feet</t>
  </si>
  <si>
    <t>kft</t>
  </si>
  <si>
    <t>mOhms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</si>
</sst>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164" formatCode="0.0000"/>
    <numFmt numFmtId="165" formatCode="0.000000"/>
    <numFmt numFmtId="166" formatCode="0.000"/>
    <numFmt numFmtId="167" formatCode="0.00000"/>
    <numFmt numFmtId="168" formatCode="0.0000000"/>
    <numFmt numFmtId="169" formatCode="&quot;$&quot;#,##0.00"/>
    <numFmt numFmtId="170" formatCode="0.0"/>
    <numFmt numFmtId="171" formatCode="0.0%"/>
    <numFmt numFmtId="172" formatCode="&quot;$&quot;#,##0"/>
    <numFmt numFmtId="173" formatCode="m/d/yyyy;@"/>
  </numFmts>
  <fonts count="27" x14ac:knownFonts="1">
    <font>
      <sz val="12"/>
      <color indexed="8"/>
      <name val="Calibri"/>
      <family val="2"/>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indexed="30"/>
      <name val="Calibri"/>
      <family val="2"/>
    </font>
    <font>
      <sz val="16"/>
      <color indexed="8"/>
      <name val="Calibri"/>
      <family val="2"/>
    </font>
    <font>
      <b/>
      <sz val="16"/>
      <color indexed="8"/>
      <name val="Calibri"/>
      <family val="2"/>
    </font>
    <font>
      <u/>
      <sz val="16"/>
      <color indexed="30"/>
      <name val="Calibri"/>
      <family val="2"/>
    </font>
    <font>
      <i/>
      <sz val="16"/>
      <color indexed="8"/>
      <name val="Calibri"/>
      <family val="2"/>
    </font>
    <font>
      <sz val="14"/>
      <color indexed="8"/>
      <name val="Calibri"/>
      <family val="2"/>
    </font>
    <font>
      <sz val="16"/>
      <color indexed="53"/>
      <name val="Calibri"/>
      <family val="2"/>
    </font>
    <font>
      <sz val="16"/>
      <name val="Calibri"/>
      <family val="2"/>
    </font>
    <font>
      <b/>
      <sz val="16"/>
      <name val="Calibri"/>
      <family val="2"/>
    </font>
  </fonts>
  <fills count="7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FFF"/>
        <bgColor indexed="64"/>
      </patternFill>
    </fill>
    <fill>
      <patternFill patternType="solid">
        <fgColor rgb="FF92D050"/>
        <bgColor indexed="64"/>
      </patternFill>
    </fill>
    <fill>
      <patternFill patternType="solid">
        <fgColor rgb="FFFFD966"/>
        <bgColor indexed="64"/>
      </patternFill>
    </fill>
    <fill>
      <patternFill patternType="solid">
        <fgColor rgb="FFD3FFCF"/>
        <bgColor indexed="64"/>
      </patternFill>
    </fill>
    <fill>
      <patternFill patternType="solid">
        <fgColor rgb="FFD9D9D9"/>
        <bgColor indexed="64"/>
      </patternFill>
    </fill>
    <fill>
      <patternFill patternType="solid">
        <fgColor rgb="FFFFE699"/>
        <bgColor indexed="64"/>
      </patternFill>
    </fill>
    <fill>
      <patternFill patternType="solid">
        <fgColor rgb="FFF4B084"/>
        <bgColor indexed="64"/>
      </patternFill>
    </fill>
    <fill>
      <patternFill patternType="solid">
        <fgColor rgb="FFBCBAFF"/>
        <bgColor indexed="64"/>
      </patternFill>
    </fill>
    <fill>
      <patternFill patternType="solid">
        <fgColor rgb="FFADFFA6"/>
        <bgColor indexed="64"/>
      </patternFill>
    </fill>
    <fill>
      <patternFill patternType="solid">
        <fgColor rgb="FF9BC2E6"/>
        <bgColor indexed="64"/>
      </patternFill>
    </fill>
    <fill>
      <patternFill patternType="solid">
        <fgColor rgb="FFA9D08E"/>
        <bgColor indexed="64"/>
      </patternFill>
    </fill>
    <fill>
      <patternFill patternType="solid">
        <fgColor rgb="FFFF9DFF"/>
        <bgColor indexed="64"/>
      </patternFill>
    </fill>
    <fill>
      <patternFill patternType="solid">
        <fgColor rgb="FFFF7A7C"/>
        <bgColor indexed="64"/>
      </patternFill>
    </fill>
    <fill>
      <patternFill patternType="solid">
        <fgColor rgb="FF92F6FF"/>
        <bgColor indexed="64"/>
      </patternFill>
    </fill>
    <fill>
      <patternFill patternType="solid">
        <fgColor rgb="FF39DEED"/>
        <bgColor indexed="64"/>
      </patternFill>
    </fill>
    <fill>
      <patternFill patternType="solid">
        <fgColor rgb="FFA6A6A6"/>
        <bgColor indexed="64"/>
      </patternFill>
    </fill>
    <fill>
      <patternFill patternType="solid">
        <fgColor rgb="FFDEB1FF"/>
        <bgColor indexed="64"/>
      </patternFill>
    </fill>
    <fill>
      <patternFill patternType="solid">
        <fgColor rgb="FFE3BEFF"/>
        <bgColor indexed="64"/>
      </patternFill>
    </fill>
    <fill>
      <patternFill patternType="solid">
        <fgColor rgb="FFC980FF"/>
        <bgColor indexed="64"/>
      </patternFill>
    </fill>
    <fill>
      <patternFill patternType="solid">
        <fgColor rgb="FFDAB956"/>
        <bgColor indexed="64"/>
      </patternFill>
    </fill>
    <fill>
      <patternFill patternType="solid">
        <fgColor rgb="FFDAB957"/>
        <bgColor indexed="64"/>
      </patternFill>
    </fill>
    <fill>
      <patternFill patternType="solid">
        <fgColor rgb="FFC6E0B4"/>
        <bgColor indexed="64"/>
      </patternFill>
    </fill>
    <fill>
      <patternFill patternType="solid">
        <fgColor rgb="FFF6FF92"/>
        <bgColor indexed="64"/>
      </patternFill>
    </fill>
    <fill>
      <patternFill patternType="solid">
        <fgColor rgb="FFFFFF00"/>
        <bgColor indexed="64"/>
      </patternFill>
    </fill>
    <fill>
      <patternFill patternType="solid">
        <fgColor rgb="FFFFC000"/>
        <bgColor indexed="64"/>
      </patternFill>
    </fill>
    <fill>
      <patternFill patternType="solid">
        <fgColor rgb="FFF8CBAD"/>
        <bgColor indexed="64"/>
      </patternFill>
    </fill>
    <fill>
      <patternFill patternType="solid">
        <fgColor rgb="FFE2EFDA"/>
        <bgColor indexed="64"/>
      </patternFill>
    </fill>
    <fill>
      <patternFill patternType="solid">
        <fgColor rgb="FFFFF2CC"/>
        <bgColor indexed="64"/>
      </patternFill>
    </fill>
    <fill>
      <patternFill patternType="solid">
        <fgColor rgb="FFFCE4D6"/>
        <bgColor indexed="64"/>
      </patternFill>
    </fill>
    <fill>
      <patternFill patternType="solid">
        <fgColor rgb="FFBDD7EE"/>
        <bgColor indexed="64"/>
      </patternFill>
    </fill>
    <fill>
      <patternFill patternType="solid">
        <fgColor rgb="FFD8D6FF"/>
        <bgColor indexed="64"/>
      </patternFill>
    </fill>
    <fill>
      <patternFill patternType="solid">
        <fgColor rgb="FFDDEBF7"/>
        <bgColor indexed="64"/>
      </patternFill>
    </fill>
    <fill>
      <patternFill patternType="solid">
        <fgColor rgb="FFCFD9FF"/>
        <bgColor indexed="64"/>
      </patternFill>
    </fill>
    <fill>
      <patternFill patternType="solid">
        <fgColor rgb="FFFF9395"/>
        <bgColor indexed="64"/>
      </patternFill>
    </fill>
    <fill>
      <patternFill patternType="solid">
        <fgColor rgb="FF00B050"/>
        <bgColor indexed="64"/>
      </patternFill>
    </fill>
    <fill>
      <patternFill patternType="solid">
        <fgColor rgb="FFCD8AFF"/>
        <bgColor indexed="64"/>
      </patternFill>
    </fill>
    <fill>
      <patternFill patternType="solid">
        <fgColor rgb="FF00B0F0"/>
        <bgColor indexed="64"/>
      </patternFill>
    </fill>
    <fill>
      <patternFill patternType="solid">
        <fgColor rgb="FFF6CF59"/>
        <bgColor indexed="64"/>
      </patternFill>
    </fill>
    <fill>
      <patternFill patternType="solid">
        <fgColor rgb="FFB4C6E7"/>
        <bgColor indexed="64"/>
      </patternFill>
    </fill>
    <fill>
      <patternFill patternType="solid">
        <fgColor rgb="FFF3C5F3"/>
        <bgColor indexed="64"/>
      </patternFill>
    </fill>
    <fill>
      <patternFill patternType="solid">
        <fgColor theme="4" tint="0.79998168889431442"/>
        <bgColor indexed="64"/>
      </patternFill>
    </fill>
    <fill>
      <patternFill patternType="solid">
        <fgColor theme="5" tint="0.39997558519241921"/>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auto="1"/>
      </bottom>
      <diagonal/>
    </border>
    <border>
      <left style="thin">
        <color auto="1"/>
      </left>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double">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69">
    <xf numFmtId="0" fontId="0" fillId="0" borderId="0" xfId="0"/>
    <xf numFmtId="0" fontId="19" fillId="0" borderId="0" xfId="0" applyFont="1"/>
    <xf numFmtId="165" fontId="19" fillId="0" borderId="0" xfId="0" applyNumberFormat="1" applyFont="1"/>
    <xf numFmtId="164" fontId="19" fillId="0" borderId="0" xfId="0" applyNumberFormat="1" applyFont="1"/>
    <xf numFmtId="166" fontId="19" fillId="0" borderId="0" xfId="0" applyNumberFormat="1" applyFont="1"/>
    <xf numFmtId="2" fontId="19" fillId="0" borderId="0" xfId="0" applyNumberFormat="1" applyFont="1"/>
    <xf numFmtId="1" fontId="19" fillId="0" borderId="0" xfId="0" applyNumberFormat="1" applyFont="1"/>
    <xf numFmtId="0" fontId="19" fillId="0" borderId="0" xfId="0" applyFont="1" applyAlignment="1">
      <alignment horizontal="center"/>
    </xf>
    <xf numFmtId="0" fontId="20" fillId="33" borderId="10" xfId="0" applyFont="1" applyFill="1" applyBorder="1" applyAlignment="1">
      <alignment horizontal="center"/>
    </xf>
    <xf numFmtId="0" fontId="19" fillId="34" borderId="10" xfId="0" applyFont="1" applyFill="1" applyBorder="1"/>
    <xf numFmtId="0" fontId="19" fillId="33" borderId="0" xfId="0" applyFont="1" applyFill="1"/>
    <xf numFmtId="0" fontId="19" fillId="33" borderId="0" xfId="0" applyFont="1" applyFill="1" applyAlignment="1">
      <alignment horizontal="center"/>
    </xf>
    <xf numFmtId="166" fontId="19" fillId="33" borderId="0" xfId="0" applyNumberFormat="1" applyFont="1" applyFill="1"/>
    <xf numFmtId="1" fontId="19" fillId="0" borderId="11" xfId="0" applyNumberFormat="1" applyFont="1" applyBorder="1" applyAlignment="1">
      <alignment horizontal="right"/>
    </xf>
    <xf numFmtId="0" fontId="19" fillId="0" borderId="12" xfId="0" applyFont="1" applyBorder="1" applyAlignment="1">
      <alignment horizontal="left"/>
    </xf>
    <xf numFmtId="1" fontId="19" fillId="0" borderId="13" xfId="0" applyNumberFormat="1" applyFont="1" applyBorder="1"/>
    <xf numFmtId="2" fontId="19" fillId="0" borderId="14" xfId="0" applyNumberFormat="1" applyFont="1" applyBorder="1" applyAlignment="1">
      <alignment horizontal="right"/>
    </xf>
    <xf numFmtId="0" fontId="19" fillId="0" borderId="0" xfId="0" applyFont="1" applyAlignment="1">
      <alignment horizontal="left"/>
    </xf>
    <xf numFmtId="1" fontId="19" fillId="0" borderId="15" xfId="0" applyNumberFormat="1" applyFont="1" applyBorder="1"/>
    <xf numFmtId="2" fontId="19" fillId="0" borderId="0" xfId="0" applyNumberFormat="1" applyFont="1" applyAlignment="1">
      <alignment horizontal="center"/>
    </xf>
    <xf numFmtId="1" fontId="19" fillId="0" borderId="14" xfId="0" applyNumberFormat="1" applyFont="1" applyBorder="1" applyAlignment="1">
      <alignment horizontal="right"/>
    </xf>
    <xf numFmtId="1" fontId="19" fillId="0" borderId="0" xfId="0" applyNumberFormat="1" applyFont="1" applyAlignment="1">
      <alignment horizontal="center"/>
    </xf>
    <xf numFmtId="0" fontId="19" fillId="0" borderId="16" xfId="0" applyFont="1" applyBorder="1" applyAlignment="1">
      <alignment horizontal="right"/>
    </xf>
    <xf numFmtId="0" fontId="19" fillId="0" borderId="17" xfId="0" applyFont="1" applyBorder="1" applyAlignment="1">
      <alignment horizontal="left"/>
    </xf>
    <xf numFmtId="1" fontId="19" fillId="0" borderId="18" xfId="0" applyNumberFormat="1" applyFont="1" applyBorder="1"/>
    <xf numFmtId="0" fontId="19" fillId="0" borderId="0" xfId="0" applyFont="1" applyAlignment="1">
      <alignment horizontal="right"/>
    </xf>
    <xf numFmtId="2" fontId="19" fillId="0" borderId="0" xfId="0" applyNumberFormat="1" applyFont="1" applyAlignment="1">
      <alignment horizontal="left"/>
    </xf>
    <xf numFmtId="0" fontId="19" fillId="35" borderId="0" xfId="0" applyFont="1" applyFill="1" applyAlignment="1">
      <alignment horizontal="center"/>
    </xf>
    <xf numFmtId="2" fontId="20" fillId="0" borderId="0" xfId="0" applyNumberFormat="1" applyFont="1" applyAlignment="1">
      <alignment horizontal="center"/>
    </xf>
    <xf numFmtId="165" fontId="19" fillId="0" borderId="0" xfId="0" applyNumberFormat="1" applyFont="1" applyAlignment="1">
      <alignment horizontal="center"/>
    </xf>
    <xf numFmtId="164" fontId="19" fillId="0" borderId="0" xfId="0" applyNumberFormat="1" applyFont="1" applyAlignment="1">
      <alignment horizontal="center"/>
    </xf>
    <xf numFmtId="166" fontId="19" fillId="0" borderId="14" xfId="0" applyNumberFormat="1" applyFont="1" applyBorder="1" applyAlignment="1">
      <alignment horizontal="center"/>
    </xf>
    <xf numFmtId="166" fontId="19" fillId="0" borderId="0" xfId="0" applyNumberFormat="1" applyFont="1" applyAlignment="1">
      <alignment horizontal="center"/>
    </xf>
    <xf numFmtId="9" fontId="19" fillId="0" borderId="0" xfId="0" applyNumberFormat="1" applyFont="1" applyAlignment="1">
      <alignment horizontal="center"/>
    </xf>
    <xf numFmtId="0" fontId="19" fillId="0" borderId="19" xfId="0" applyFont="1" applyBorder="1" applyAlignment="1">
      <alignment horizontal="center"/>
    </xf>
    <xf numFmtId="166" fontId="19" fillId="0" borderId="20" xfId="0" applyNumberFormat="1" applyFont="1"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166" fontId="19" fillId="0" borderId="22" xfId="0" applyNumberFormat="1" applyFont="1" applyBorder="1" applyAlignment="1">
      <alignment horizontal="center"/>
    </xf>
    <xf numFmtId="165" fontId="19" fillId="0" borderId="22" xfId="0" applyNumberFormat="1" applyFont="1" applyBorder="1" applyAlignment="1">
      <alignment horizontal="center"/>
    </xf>
    <xf numFmtId="164" fontId="19" fillId="0" borderId="22" xfId="0" applyNumberFormat="1" applyFont="1" applyBorder="1" applyAlignment="1">
      <alignment horizontal="center"/>
    </xf>
    <xf numFmtId="167" fontId="19" fillId="0" borderId="22" xfId="0" applyNumberFormat="1" applyFont="1" applyBorder="1" applyAlignment="1">
      <alignment horizontal="center"/>
    </xf>
    <xf numFmtId="166" fontId="19" fillId="0" borderId="23" xfId="0" applyNumberFormat="1" applyFont="1" applyBorder="1" applyAlignment="1">
      <alignment horizontal="center"/>
    </xf>
    <xf numFmtId="2" fontId="19" fillId="0" borderId="22" xfId="0" applyNumberFormat="1" applyFont="1" applyBorder="1" applyAlignment="1">
      <alignment horizontal="center"/>
    </xf>
    <xf numFmtId="1" fontId="19" fillId="0" borderId="22" xfId="0" applyNumberFormat="1" applyFont="1" applyBorder="1" applyAlignment="1">
      <alignment horizontal="center"/>
    </xf>
    <xf numFmtId="9" fontId="19" fillId="0" borderId="24" xfId="0" applyNumberFormat="1" applyFont="1" applyBorder="1" applyAlignment="1">
      <alignment horizontal="center"/>
    </xf>
    <xf numFmtId="0" fontId="19" fillId="0" borderId="25" xfId="0" applyFont="1" applyBorder="1" applyAlignment="1">
      <alignment horizontal="center"/>
    </xf>
    <xf numFmtId="166" fontId="19" fillId="36" borderId="0" xfId="0" applyNumberFormat="1" applyFont="1" applyFill="1" applyAlignment="1">
      <alignment horizontal="center"/>
    </xf>
    <xf numFmtId="167" fontId="19" fillId="0" borderId="0" xfId="0" applyNumberFormat="1" applyFont="1" applyAlignment="1">
      <alignment horizontal="center"/>
    </xf>
    <xf numFmtId="1" fontId="19" fillId="36" borderId="0" xfId="0" applyNumberFormat="1" applyFont="1" applyFill="1" applyAlignment="1">
      <alignment horizontal="center"/>
    </xf>
    <xf numFmtId="9" fontId="19" fillId="36" borderId="26" xfId="0" applyNumberFormat="1" applyFont="1" applyFill="1" applyBorder="1" applyAlignment="1">
      <alignment horizontal="center"/>
    </xf>
    <xf numFmtId="0" fontId="19" fillId="36" borderId="0" xfId="0" applyFont="1" applyFill="1" applyAlignment="1">
      <alignment horizontal="center"/>
    </xf>
    <xf numFmtId="9" fontId="19" fillId="0" borderId="26" xfId="0" applyNumberFormat="1" applyFont="1" applyBorder="1" applyAlignment="1">
      <alignment horizontal="center"/>
    </xf>
    <xf numFmtId="0" fontId="19" fillId="37" borderId="25" xfId="0" applyFont="1" applyFill="1" applyBorder="1" applyAlignment="1">
      <alignment horizontal="center"/>
    </xf>
    <xf numFmtId="0" fontId="19" fillId="37" borderId="0" xfId="0" applyFont="1" applyFill="1" applyAlignment="1">
      <alignment horizontal="center"/>
    </xf>
    <xf numFmtId="166" fontId="19" fillId="37" borderId="0" xfId="0" applyNumberFormat="1" applyFont="1" applyFill="1" applyAlignment="1">
      <alignment horizontal="center"/>
    </xf>
    <xf numFmtId="165" fontId="19" fillId="37" borderId="0" xfId="0" applyNumberFormat="1" applyFont="1" applyFill="1" applyAlignment="1">
      <alignment horizontal="center"/>
    </xf>
    <xf numFmtId="2" fontId="19" fillId="37" borderId="0" xfId="0" applyNumberFormat="1" applyFont="1" applyFill="1" applyAlignment="1">
      <alignment horizontal="center"/>
    </xf>
    <xf numFmtId="164" fontId="19" fillId="37" borderId="0" xfId="0" applyNumberFormat="1" applyFont="1" applyFill="1" applyAlignment="1">
      <alignment horizontal="center"/>
    </xf>
    <xf numFmtId="166" fontId="19" fillId="37" borderId="14" xfId="0" applyNumberFormat="1" applyFont="1" applyFill="1" applyBorder="1" applyAlignment="1">
      <alignment horizontal="center"/>
    </xf>
    <xf numFmtId="1" fontId="19" fillId="37" borderId="0" xfId="0" applyNumberFormat="1" applyFont="1" applyFill="1" applyAlignment="1">
      <alignment horizontal="center"/>
    </xf>
    <xf numFmtId="9" fontId="19" fillId="37" borderId="26" xfId="0" applyNumberFormat="1" applyFont="1" applyFill="1" applyBorder="1" applyAlignment="1">
      <alignment horizontal="center"/>
    </xf>
    <xf numFmtId="0" fontId="19" fillId="37" borderId="0" xfId="0" applyFont="1" applyFill="1"/>
    <xf numFmtId="0" fontId="19" fillId="35" borderId="25" xfId="0" applyFont="1" applyFill="1" applyBorder="1" applyAlignment="1">
      <alignment horizontal="center"/>
    </xf>
    <xf numFmtId="166" fontId="19" fillId="33" borderId="0" xfId="0" applyNumberFormat="1" applyFont="1" applyFill="1" applyAlignment="1">
      <alignment horizontal="center"/>
    </xf>
    <xf numFmtId="165" fontId="19" fillId="35" borderId="0" xfId="0" applyNumberFormat="1" applyFont="1" applyFill="1" applyAlignment="1">
      <alignment horizontal="center"/>
    </xf>
    <xf numFmtId="166" fontId="19" fillId="35" borderId="0" xfId="0" applyNumberFormat="1" applyFont="1" applyFill="1" applyAlignment="1">
      <alignment horizontal="center"/>
    </xf>
    <xf numFmtId="2" fontId="19" fillId="35" borderId="0" xfId="0" applyNumberFormat="1" applyFont="1" applyFill="1" applyAlignment="1">
      <alignment horizontal="center"/>
    </xf>
    <xf numFmtId="164" fontId="19" fillId="35" borderId="0" xfId="0" applyNumberFormat="1" applyFont="1" applyFill="1" applyAlignment="1">
      <alignment horizontal="center"/>
    </xf>
    <xf numFmtId="166" fontId="19" fillId="35" borderId="14" xfId="0" applyNumberFormat="1" applyFont="1" applyFill="1" applyBorder="1" applyAlignment="1">
      <alignment horizontal="center"/>
    </xf>
    <xf numFmtId="1" fontId="19" fillId="35" borderId="0" xfId="0" applyNumberFormat="1" applyFont="1" applyFill="1" applyAlignment="1">
      <alignment horizontal="center"/>
    </xf>
    <xf numFmtId="9" fontId="19" fillId="35" borderId="26" xfId="0" applyNumberFormat="1" applyFont="1" applyFill="1" applyBorder="1" applyAlignment="1">
      <alignment horizontal="center"/>
    </xf>
    <xf numFmtId="0" fontId="19" fillId="38" borderId="0" xfId="0" applyFont="1" applyFill="1"/>
    <xf numFmtId="0" fontId="19" fillId="35" borderId="0" xfId="0" applyFont="1" applyFill="1"/>
    <xf numFmtId="1" fontId="19" fillId="39" borderId="0" xfId="0" applyNumberFormat="1" applyFont="1" applyFill="1" applyAlignment="1">
      <alignment horizontal="center"/>
    </xf>
    <xf numFmtId="9" fontId="19" fillId="39" borderId="26" xfId="0" applyNumberFormat="1" applyFont="1" applyFill="1" applyBorder="1" applyAlignment="1">
      <alignment horizontal="center"/>
    </xf>
    <xf numFmtId="0" fontId="19" fillId="39" borderId="0" xfId="0" applyFont="1" applyFill="1" applyAlignment="1">
      <alignment horizontal="center"/>
    </xf>
    <xf numFmtId="0" fontId="19" fillId="0" borderId="27" xfId="0" applyFont="1" applyBorder="1" applyAlignment="1">
      <alignment horizontal="center"/>
    </xf>
    <xf numFmtId="2" fontId="19" fillId="0" borderId="19" xfId="0" applyNumberFormat="1" applyFont="1" applyBorder="1" applyAlignment="1">
      <alignment horizontal="center"/>
    </xf>
    <xf numFmtId="165" fontId="19" fillId="0" borderId="19" xfId="0" applyNumberFormat="1" applyFont="1" applyBorder="1" applyAlignment="1">
      <alignment horizontal="center"/>
    </xf>
    <xf numFmtId="166" fontId="19" fillId="0" borderId="19" xfId="0" applyNumberFormat="1" applyFont="1" applyBorder="1" applyAlignment="1">
      <alignment horizontal="center"/>
    </xf>
    <xf numFmtId="164" fontId="19" fillId="0" borderId="19" xfId="0" applyNumberFormat="1" applyFont="1" applyBorder="1" applyAlignment="1">
      <alignment horizontal="center"/>
    </xf>
    <xf numFmtId="1" fontId="19" fillId="0" borderId="19" xfId="0" applyNumberFormat="1" applyFont="1" applyBorder="1" applyAlignment="1">
      <alignment horizontal="center"/>
    </xf>
    <xf numFmtId="9" fontId="19" fillId="0" borderId="28" xfId="0" applyNumberFormat="1" applyFont="1" applyBorder="1" applyAlignment="1">
      <alignment horizontal="center"/>
    </xf>
    <xf numFmtId="1" fontId="19" fillId="40" borderId="0" xfId="0" applyNumberFormat="1" applyFont="1" applyFill="1" applyAlignment="1">
      <alignment horizontal="center"/>
    </xf>
    <xf numFmtId="9" fontId="19" fillId="40" borderId="0" xfId="0" applyNumberFormat="1" applyFont="1" applyFill="1" applyAlignment="1">
      <alignment horizontal="center"/>
    </xf>
    <xf numFmtId="0" fontId="19" fillId="40" borderId="0" xfId="0" applyFont="1" applyFill="1"/>
    <xf numFmtId="169" fontId="19" fillId="41" borderId="0" xfId="0" applyNumberFormat="1" applyFont="1" applyFill="1" applyAlignment="1">
      <alignment horizontal="center"/>
    </xf>
    <xf numFmtId="0" fontId="19" fillId="41" borderId="0" xfId="0" applyFont="1" applyFill="1"/>
    <xf numFmtId="0" fontId="20" fillId="0" borderId="0" xfId="0" applyFont="1" applyAlignment="1">
      <alignment horizontal="center"/>
    </xf>
    <xf numFmtId="164" fontId="20" fillId="0" borderId="0" xfId="0" applyNumberFormat="1" applyFont="1" applyAlignment="1">
      <alignment horizontal="center"/>
    </xf>
    <xf numFmtId="165" fontId="20" fillId="0" borderId="0" xfId="0" applyNumberFormat="1" applyFont="1" applyAlignment="1">
      <alignment horizontal="center"/>
    </xf>
    <xf numFmtId="166" fontId="20" fillId="0" borderId="0" xfId="0" applyNumberFormat="1" applyFont="1" applyAlignment="1">
      <alignment horizontal="center"/>
    </xf>
    <xf numFmtId="166" fontId="20" fillId="0" borderId="0" xfId="0" applyNumberFormat="1" applyFont="1"/>
    <xf numFmtId="0" fontId="20" fillId="0" borderId="19" xfId="0" applyFont="1" applyBorder="1"/>
    <xf numFmtId="0" fontId="19" fillId="0" borderId="19" xfId="0" applyFont="1" applyBorder="1"/>
    <xf numFmtId="170" fontId="19" fillId="0" borderId="22" xfId="0" applyNumberFormat="1" applyFont="1" applyBorder="1" applyAlignment="1">
      <alignment horizontal="center"/>
    </xf>
    <xf numFmtId="167" fontId="19" fillId="42" borderId="22" xfId="0" applyNumberFormat="1" applyFont="1" applyFill="1" applyBorder="1" applyAlignment="1">
      <alignment horizontal="center"/>
    </xf>
    <xf numFmtId="168" fontId="19" fillId="0" borderId="22" xfId="0" applyNumberFormat="1" applyFont="1" applyBorder="1" applyAlignment="1">
      <alignment horizontal="center"/>
    </xf>
    <xf numFmtId="166" fontId="19" fillId="41" borderId="22" xfId="0" applyNumberFormat="1" applyFont="1" applyFill="1" applyBorder="1" applyAlignment="1">
      <alignment horizontal="center"/>
    </xf>
    <xf numFmtId="166" fontId="21" fillId="0" borderId="22" xfId="42" applyNumberFormat="1" applyFont="1" applyBorder="1"/>
    <xf numFmtId="166" fontId="19" fillId="0" borderId="24" xfId="0" applyNumberFormat="1" applyFont="1" applyBorder="1"/>
    <xf numFmtId="170" fontId="19" fillId="0" borderId="0" xfId="0" applyNumberFormat="1" applyFont="1" applyAlignment="1">
      <alignment horizontal="center"/>
    </xf>
    <xf numFmtId="167" fontId="19" fillId="42" borderId="0" xfId="0" applyNumberFormat="1" applyFont="1" applyFill="1" applyAlignment="1">
      <alignment horizontal="center"/>
    </xf>
    <xf numFmtId="168" fontId="19" fillId="0" borderId="0" xfId="0" applyNumberFormat="1" applyFont="1" applyAlignment="1">
      <alignment horizontal="center"/>
    </xf>
    <xf numFmtId="166" fontId="19" fillId="41" borderId="0" xfId="0" applyNumberFormat="1" applyFont="1" applyFill="1" applyAlignment="1">
      <alignment horizontal="center"/>
    </xf>
    <xf numFmtId="166" fontId="21" fillId="0" borderId="0" xfId="42" applyNumberFormat="1" applyFont="1" applyBorder="1"/>
    <xf numFmtId="166" fontId="19" fillId="0" borderId="26" xfId="0" applyNumberFormat="1" applyFont="1" applyBorder="1"/>
    <xf numFmtId="2" fontId="19" fillId="33" borderId="0" xfId="0" applyNumberFormat="1" applyFont="1" applyFill="1"/>
    <xf numFmtId="170" fontId="19" fillId="37" borderId="0" xfId="0" applyNumberFormat="1" applyFont="1" applyFill="1" applyAlignment="1">
      <alignment horizontal="center"/>
    </xf>
    <xf numFmtId="167" fontId="19" fillId="37" borderId="0" xfId="0" applyNumberFormat="1" applyFont="1" applyFill="1" applyAlignment="1">
      <alignment horizontal="center"/>
    </xf>
    <xf numFmtId="168" fontId="19" fillId="37" borderId="0" xfId="0" applyNumberFormat="1" applyFont="1" applyFill="1" applyAlignment="1">
      <alignment horizontal="center"/>
    </xf>
    <xf numFmtId="0" fontId="19" fillId="33" borderId="25" xfId="0" applyFont="1" applyFill="1" applyBorder="1" applyAlignment="1">
      <alignment horizontal="center"/>
    </xf>
    <xf numFmtId="1" fontId="19" fillId="33" borderId="0" xfId="0" applyNumberFormat="1" applyFont="1" applyFill="1" applyAlignment="1">
      <alignment horizontal="center"/>
    </xf>
    <xf numFmtId="170" fontId="19" fillId="33" borderId="0" xfId="0" applyNumberFormat="1" applyFont="1" applyFill="1" applyAlignment="1">
      <alignment horizontal="center"/>
    </xf>
    <xf numFmtId="2" fontId="19" fillId="33" borderId="0" xfId="0" applyNumberFormat="1" applyFont="1" applyFill="1" applyAlignment="1">
      <alignment horizontal="center"/>
    </xf>
    <xf numFmtId="164" fontId="19" fillId="33" borderId="0" xfId="0" applyNumberFormat="1" applyFont="1" applyFill="1" applyAlignment="1">
      <alignment horizontal="center"/>
    </xf>
    <xf numFmtId="167" fontId="19" fillId="33" borderId="0" xfId="0" applyNumberFormat="1" applyFont="1" applyFill="1" applyAlignment="1">
      <alignment horizontal="center"/>
    </xf>
    <xf numFmtId="168" fontId="19" fillId="33" borderId="0" xfId="0" applyNumberFormat="1" applyFont="1" applyFill="1" applyAlignment="1">
      <alignment horizontal="center"/>
    </xf>
    <xf numFmtId="170" fontId="19" fillId="0" borderId="19" xfId="0" applyNumberFormat="1" applyFont="1" applyBorder="1" applyAlignment="1">
      <alignment horizontal="center"/>
    </xf>
    <xf numFmtId="167" fontId="19" fillId="42" borderId="19" xfId="0" applyNumberFormat="1" applyFont="1" applyFill="1" applyBorder="1" applyAlignment="1">
      <alignment horizontal="center"/>
    </xf>
    <xf numFmtId="167" fontId="19" fillId="0" borderId="19" xfId="0" applyNumberFormat="1" applyFont="1" applyBorder="1" applyAlignment="1">
      <alignment horizontal="center"/>
    </xf>
    <xf numFmtId="168" fontId="19" fillId="0" borderId="19" xfId="0" applyNumberFormat="1" applyFont="1" applyBorder="1" applyAlignment="1">
      <alignment horizontal="center"/>
    </xf>
    <xf numFmtId="2" fontId="19" fillId="41" borderId="19" xfId="0" applyNumberFormat="1" applyFont="1" applyFill="1" applyBorder="1" applyAlignment="1">
      <alignment horizontal="center"/>
    </xf>
    <xf numFmtId="166" fontId="19" fillId="0" borderId="19" xfId="0" applyNumberFormat="1" applyFont="1" applyBorder="1"/>
    <xf numFmtId="166" fontId="19" fillId="0" borderId="28" xfId="0" applyNumberFormat="1" applyFont="1" applyBorder="1"/>
    <xf numFmtId="167" fontId="19" fillId="0" borderId="0" xfId="0" applyNumberFormat="1" applyFont="1"/>
    <xf numFmtId="49" fontId="19" fillId="0" borderId="0" xfId="0" applyNumberFormat="1" applyFont="1"/>
    <xf numFmtId="0" fontId="20" fillId="0" borderId="0" xfId="0" applyFont="1"/>
    <xf numFmtId="0" fontId="20" fillId="0" borderId="29" xfId="0" applyFont="1" applyBorder="1"/>
    <xf numFmtId="0" fontId="19" fillId="0" borderId="29" xfId="0" applyFont="1" applyBorder="1"/>
    <xf numFmtId="0" fontId="20" fillId="0" borderId="26" xfId="0" applyFont="1" applyBorder="1"/>
    <xf numFmtId="0" fontId="23" fillId="0" borderId="0" xfId="0" applyFont="1" applyAlignment="1">
      <alignment horizontal="center"/>
    </xf>
    <xf numFmtId="0" fontId="20" fillId="0" borderId="28" xfId="0" applyFont="1" applyBorder="1" applyAlignment="1">
      <alignment horizontal="center"/>
    </xf>
    <xf numFmtId="0" fontId="20" fillId="0" borderId="19" xfId="0" applyFont="1" applyBorder="1" applyAlignment="1">
      <alignment horizontal="center"/>
    </xf>
    <xf numFmtId="0" fontId="20" fillId="0" borderId="0" xfId="0" applyFont="1" applyAlignment="1">
      <alignment horizontal="right"/>
    </xf>
    <xf numFmtId="0" fontId="19" fillId="40" borderId="10" xfId="0" applyFont="1" applyFill="1" applyBorder="1" applyAlignment="1">
      <alignment horizontal="center"/>
    </xf>
    <xf numFmtId="6" fontId="21" fillId="0" borderId="0" xfId="42" applyNumberFormat="1" applyFont="1" applyAlignment="1">
      <alignment horizontal="center"/>
    </xf>
    <xf numFmtId="164" fontId="19" fillId="0" borderId="21" xfId="0" applyNumberFormat="1" applyFont="1" applyBorder="1" applyAlignment="1">
      <alignment horizontal="center"/>
    </xf>
    <xf numFmtId="171" fontId="19" fillId="0" borderId="24" xfId="0" applyNumberFormat="1" applyFont="1" applyBorder="1" applyAlignment="1">
      <alignment horizontal="center"/>
    </xf>
    <xf numFmtId="6" fontId="21" fillId="0" borderId="0" xfId="42" applyNumberFormat="1" applyFont="1" applyBorder="1" applyAlignment="1">
      <alignment horizontal="center"/>
    </xf>
    <xf numFmtId="165" fontId="19" fillId="41" borderId="0" xfId="0" applyNumberFormat="1" applyFont="1" applyFill="1" applyAlignment="1">
      <alignment horizontal="center"/>
    </xf>
    <xf numFmtId="164" fontId="19" fillId="41" borderId="25" xfId="0" applyNumberFormat="1" applyFont="1" applyFill="1" applyBorder="1" applyAlignment="1">
      <alignment horizontal="center"/>
    </xf>
    <xf numFmtId="1" fontId="19" fillId="41" borderId="0" xfId="0" applyNumberFormat="1" applyFont="1" applyFill="1" applyAlignment="1">
      <alignment horizontal="center"/>
    </xf>
    <xf numFmtId="1" fontId="19" fillId="43" borderId="0" xfId="0" applyNumberFormat="1" applyFont="1" applyFill="1" applyAlignment="1">
      <alignment horizontal="center"/>
    </xf>
    <xf numFmtId="9" fontId="19" fillId="41" borderId="26" xfId="0" applyNumberFormat="1" applyFont="1" applyFill="1" applyBorder="1" applyAlignment="1">
      <alignment horizontal="center"/>
    </xf>
    <xf numFmtId="164" fontId="19" fillId="0" borderId="25" xfId="0" applyNumberFormat="1" applyFont="1" applyBorder="1" applyAlignment="1">
      <alignment horizontal="center"/>
    </xf>
    <xf numFmtId="171" fontId="19" fillId="0" borderId="26" xfId="0" applyNumberFormat="1" applyFont="1" applyBorder="1" applyAlignment="1">
      <alignment horizontal="center"/>
    </xf>
    <xf numFmtId="0" fontId="19" fillId="33" borderId="10" xfId="0" applyFont="1" applyFill="1" applyBorder="1" applyAlignment="1">
      <alignment horizontal="center"/>
    </xf>
    <xf numFmtId="165" fontId="19" fillId="33" borderId="19" xfId="0" applyNumberFormat="1" applyFont="1" applyFill="1" applyBorder="1" applyAlignment="1">
      <alignment horizontal="center"/>
    </xf>
    <xf numFmtId="164" fontId="19" fillId="33" borderId="27" xfId="0" applyNumberFormat="1" applyFont="1" applyFill="1" applyBorder="1" applyAlignment="1">
      <alignment horizontal="center"/>
    </xf>
    <xf numFmtId="166" fontId="19" fillId="33" borderId="19" xfId="0" applyNumberFormat="1" applyFont="1" applyFill="1" applyBorder="1" applyAlignment="1">
      <alignment horizontal="center"/>
    </xf>
    <xf numFmtId="1" fontId="19" fillId="33" borderId="19" xfId="0" applyNumberFormat="1" applyFont="1" applyFill="1" applyBorder="1" applyAlignment="1">
      <alignment horizontal="center"/>
    </xf>
    <xf numFmtId="1" fontId="19" fillId="44" borderId="19" xfId="0" applyNumberFormat="1" applyFont="1" applyFill="1" applyBorder="1" applyAlignment="1">
      <alignment horizontal="center"/>
    </xf>
    <xf numFmtId="9" fontId="19" fillId="33" borderId="28" xfId="0" applyNumberFormat="1" applyFont="1" applyFill="1" applyBorder="1" applyAlignment="1">
      <alignment horizontal="center"/>
    </xf>
    <xf numFmtId="0" fontId="19" fillId="0" borderId="29" xfId="0" applyFont="1" applyBorder="1" applyAlignment="1">
      <alignment horizontal="center"/>
    </xf>
    <xf numFmtId="0" fontId="20" fillId="0" borderId="26" xfId="0" applyFont="1" applyBorder="1" applyAlignment="1">
      <alignment horizontal="center"/>
    </xf>
    <xf numFmtId="9" fontId="19" fillId="45" borderId="28" xfId="0" applyNumberFormat="1" applyFont="1" applyFill="1" applyBorder="1" applyAlignment="1">
      <alignment horizontal="center"/>
    </xf>
    <xf numFmtId="0" fontId="20" fillId="0" borderId="28" xfId="0" applyFont="1" applyBorder="1"/>
    <xf numFmtId="0" fontId="19" fillId="0" borderId="21" xfId="0" applyFont="1" applyBorder="1"/>
    <xf numFmtId="1" fontId="19" fillId="33" borderId="22" xfId="0" applyNumberFormat="1" applyFont="1" applyFill="1" applyBorder="1" applyAlignment="1">
      <alignment horizontal="center"/>
    </xf>
    <xf numFmtId="0" fontId="19" fillId="0" borderId="24" xfId="0" applyFont="1" applyBorder="1"/>
    <xf numFmtId="165" fontId="19" fillId="41" borderId="21" xfId="0" applyNumberFormat="1" applyFont="1" applyFill="1" applyBorder="1" applyAlignment="1">
      <alignment horizontal="center"/>
    </xf>
    <xf numFmtId="2" fontId="19" fillId="41" borderId="22" xfId="0" applyNumberFormat="1" applyFont="1" applyFill="1" applyBorder="1" applyAlignment="1">
      <alignment horizontal="center"/>
    </xf>
    <xf numFmtId="165" fontId="19" fillId="41" borderId="22" xfId="0" applyNumberFormat="1" applyFont="1" applyFill="1" applyBorder="1" applyAlignment="1">
      <alignment horizontal="center"/>
    </xf>
    <xf numFmtId="170" fontId="19" fillId="34" borderId="22" xfId="0" applyNumberFormat="1" applyFont="1" applyFill="1" applyBorder="1" applyAlignment="1">
      <alignment horizontal="center"/>
    </xf>
    <xf numFmtId="170" fontId="19" fillId="41" borderId="22" xfId="0" applyNumberFormat="1" applyFont="1" applyFill="1" applyBorder="1" applyAlignment="1">
      <alignment horizontal="center"/>
    </xf>
    <xf numFmtId="171" fontId="19" fillId="41" borderId="22" xfId="0" applyNumberFormat="1" applyFont="1" applyFill="1" applyBorder="1" applyAlignment="1">
      <alignment horizontal="center"/>
    </xf>
    <xf numFmtId="171" fontId="19" fillId="34" borderId="24" xfId="0" applyNumberFormat="1" applyFont="1" applyFill="1" applyBorder="1" applyAlignment="1">
      <alignment horizontal="center"/>
    </xf>
    <xf numFmtId="0" fontId="19" fillId="0" borderId="25" xfId="0" applyFont="1" applyBorder="1"/>
    <xf numFmtId="9" fontId="19" fillId="46" borderId="0" xfId="0" applyNumberFormat="1" applyFont="1" applyFill="1" applyAlignment="1">
      <alignment horizontal="center"/>
    </xf>
    <xf numFmtId="0" fontId="19" fillId="0" borderId="26" xfId="0" applyFont="1" applyBorder="1"/>
    <xf numFmtId="0" fontId="19" fillId="46" borderId="0" xfId="0" applyFont="1" applyFill="1"/>
    <xf numFmtId="165" fontId="19" fillId="46" borderId="25" xfId="0" applyNumberFormat="1" applyFont="1" applyFill="1" applyBorder="1" applyAlignment="1">
      <alignment horizontal="center"/>
    </xf>
    <xf numFmtId="2" fontId="19" fillId="46" borderId="0" xfId="0" applyNumberFormat="1" applyFont="1" applyFill="1" applyAlignment="1">
      <alignment horizontal="center"/>
    </xf>
    <xf numFmtId="166" fontId="19" fillId="46" borderId="0" xfId="0" applyNumberFormat="1" applyFont="1" applyFill="1" applyAlignment="1">
      <alignment horizontal="center"/>
    </xf>
    <xf numFmtId="165" fontId="19" fillId="46" borderId="0" xfId="0" applyNumberFormat="1" applyFont="1" applyFill="1" applyAlignment="1">
      <alignment horizontal="center"/>
    </xf>
    <xf numFmtId="170" fontId="19" fillId="47" borderId="0" xfId="0" applyNumberFormat="1" applyFont="1" applyFill="1" applyAlignment="1">
      <alignment horizontal="center"/>
    </xf>
    <xf numFmtId="170" fontId="19" fillId="46" borderId="0" xfId="0" applyNumberFormat="1" applyFont="1" applyFill="1" applyAlignment="1">
      <alignment horizontal="center"/>
    </xf>
    <xf numFmtId="171" fontId="19" fillId="46" borderId="0" xfId="0" applyNumberFormat="1" applyFont="1" applyFill="1" applyAlignment="1">
      <alignment horizontal="center"/>
    </xf>
    <xf numFmtId="171" fontId="19" fillId="47" borderId="26" xfId="0" applyNumberFormat="1" applyFont="1" applyFill="1" applyBorder="1" applyAlignment="1">
      <alignment horizontal="center"/>
    </xf>
    <xf numFmtId="172" fontId="19" fillId="41" borderId="0" xfId="0" applyNumberFormat="1" applyFont="1" applyFill="1" applyAlignment="1">
      <alignment horizontal="center"/>
    </xf>
    <xf numFmtId="0" fontId="19" fillId="37" borderId="10" xfId="0" applyFont="1" applyFill="1" applyBorder="1" applyAlignment="1">
      <alignment horizontal="center"/>
    </xf>
    <xf numFmtId="165" fontId="19" fillId="41" borderId="25" xfId="0" applyNumberFormat="1" applyFont="1" applyFill="1" applyBorder="1" applyAlignment="1">
      <alignment horizontal="center"/>
    </xf>
    <xf numFmtId="2" fontId="19" fillId="41" borderId="0" xfId="0" applyNumberFormat="1" applyFont="1" applyFill="1" applyAlignment="1">
      <alignment horizontal="center"/>
    </xf>
    <xf numFmtId="170" fontId="19" fillId="34" borderId="0" xfId="0" applyNumberFormat="1" applyFont="1" applyFill="1" applyAlignment="1">
      <alignment horizontal="center"/>
    </xf>
    <xf numFmtId="170" fontId="19" fillId="41" borderId="0" xfId="0" applyNumberFormat="1" applyFont="1" applyFill="1" applyAlignment="1">
      <alignment horizontal="center"/>
    </xf>
    <xf numFmtId="171" fontId="19" fillId="41" borderId="0" xfId="0" applyNumberFormat="1" applyFont="1" applyFill="1" applyAlignment="1">
      <alignment horizontal="center"/>
    </xf>
    <xf numFmtId="171" fontId="19" fillId="34" borderId="26" xfId="0" applyNumberFormat="1" applyFont="1" applyFill="1" applyBorder="1" applyAlignment="1">
      <alignment horizontal="center"/>
    </xf>
    <xf numFmtId="0" fontId="19" fillId="41" borderId="10" xfId="0" applyFont="1" applyFill="1" applyBorder="1" applyAlignment="1">
      <alignment horizontal="center"/>
    </xf>
    <xf numFmtId="165" fontId="19" fillId="37" borderId="25" xfId="0" applyNumberFormat="1" applyFont="1" applyFill="1" applyBorder="1" applyAlignment="1">
      <alignment horizontal="center"/>
    </xf>
    <xf numFmtId="170" fontId="19" fillId="48" borderId="0" xfId="0" applyNumberFormat="1" applyFont="1" applyFill="1" applyAlignment="1">
      <alignment horizontal="center"/>
    </xf>
    <xf numFmtId="171" fontId="19" fillId="37" borderId="0" xfId="0" applyNumberFormat="1" applyFont="1" applyFill="1" applyAlignment="1">
      <alignment horizontal="center"/>
    </xf>
    <xf numFmtId="171" fontId="19" fillId="48" borderId="26" xfId="0" applyNumberFormat="1" applyFont="1" applyFill="1" applyBorder="1" applyAlignment="1">
      <alignment horizontal="center"/>
    </xf>
    <xf numFmtId="0" fontId="19" fillId="49" borderId="0" xfId="0" applyFont="1" applyFill="1"/>
    <xf numFmtId="165" fontId="19" fillId="50" borderId="25" xfId="0" applyNumberFormat="1" applyFont="1" applyFill="1" applyBorder="1" applyAlignment="1">
      <alignment horizontal="center"/>
    </xf>
    <xf numFmtId="2" fontId="19" fillId="50" borderId="0" xfId="0" applyNumberFormat="1" applyFont="1" applyFill="1" applyAlignment="1">
      <alignment horizontal="center"/>
    </xf>
    <xf numFmtId="166" fontId="19" fillId="50" borderId="0" xfId="0" applyNumberFormat="1" applyFont="1" applyFill="1" applyAlignment="1">
      <alignment horizontal="center"/>
    </xf>
    <xf numFmtId="165" fontId="19" fillId="49" borderId="0" xfId="0" applyNumberFormat="1" applyFont="1" applyFill="1" applyAlignment="1">
      <alignment horizontal="center"/>
    </xf>
    <xf numFmtId="170" fontId="19" fillId="51" borderId="0" xfId="0" applyNumberFormat="1" applyFont="1" applyFill="1" applyAlignment="1">
      <alignment horizontal="center"/>
    </xf>
    <xf numFmtId="170" fontId="19" fillId="49" borderId="0" xfId="0" applyNumberFormat="1" applyFont="1" applyFill="1" applyAlignment="1">
      <alignment horizontal="center"/>
    </xf>
    <xf numFmtId="171" fontId="19" fillId="49" borderId="0" xfId="0" applyNumberFormat="1" applyFont="1" applyFill="1" applyAlignment="1">
      <alignment horizontal="center"/>
    </xf>
    <xf numFmtId="171" fontId="19" fillId="51" borderId="26" xfId="0" applyNumberFormat="1" applyFont="1" applyFill="1" applyBorder="1" applyAlignment="1">
      <alignment horizontal="center"/>
    </xf>
    <xf numFmtId="0" fontId="19" fillId="38" borderId="10" xfId="0" applyFont="1" applyFill="1" applyBorder="1" applyAlignment="1">
      <alignment horizontal="center"/>
    </xf>
    <xf numFmtId="0" fontId="19" fillId="0" borderId="27" xfId="0" applyFont="1" applyBorder="1"/>
    <xf numFmtId="172" fontId="19" fillId="41" borderId="19" xfId="0" applyNumberFormat="1" applyFont="1" applyFill="1" applyBorder="1" applyAlignment="1">
      <alignment horizontal="center"/>
    </xf>
    <xf numFmtId="0" fontId="19" fillId="0" borderId="28" xfId="0" applyFont="1" applyBorder="1"/>
    <xf numFmtId="165" fontId="19" fillId="38" borderId="25" xfId="0" applyNumberFormat="1" applyFont="1" applyFill="1" applyBorder="1" applyAlignment="1">
      <alignment horizontal="center"/>
    </xf>
    <xf numFmtId="2" fontId="19" fillId="38" borderId="0" xfId="0" applyNumberFormat="1" applyFont="1" applyFill="1" applyAlignment="1">
      <alignment horizontal="center"/>
    </xf>
    <xf numFmtId="166" fontId="19" fillId="38" borderId="0" xfId="0" applyNumberFormat="1" applyFont="1" applyFill="1" applyAlignment="1">
      <alignment horizontal="center"/>
    </xf>
    <xf numFmtId="165" fontId="19" fillId="38" borderId="0" xfId="0" applyNumberFormat="1" applyFont="1" applyFill="1" applyAlignment="1">
      <alignment horizontal="center"/>
    </xf>
    <xf numFmtId="170" fontId="19" fillId="52" borderId="0" xfId="0" applyNumberFormat="1" applyFont="1" applyFill="1" applyAlignment="1">
      <alignment horizontal="center"/>
    </xf>
    <xf numFmtId="170" fontId="19" fillId="38" borderId="0" xfId="0" applyNumberFormat="1" applyFont="1" applyFill="1" applyAlignment="1">
      <alignment horizontal="center"/>
    </xf>
    <xf numFmtId="171" fontId="19" fillId="38" borderId="0" xfId="0" applyNumberFormat="1" applyFont="1" applyFill="1" applyAlignment="1">
      <alignment horizontal="center"/>
    </xf>
    <xf numFmtId="171" fontId="19" fillId="52" borderId="26" xfId="0" applyNumberFormat="1" applyFont="1" applyFill="1" applyBorder="1" applyAlignment="1">
      <alignment horizontal="center"/>
    </xf>
    <xf numFmtId="0" fontId="19" fillId="38" borderId="19" xfId="0" applyFont="1" applyFill="1" applyBorder="1"/>
    <xf numFmtId="165" fontId="19" fillId="38" borderId="27" xfId="0" applyNumberFormat="1" applyFont="1" applyFill="1" applyBorder="1" applyAlignment="1">
      <alignment horizontal="center"/>
    </xf>
    <xf numFmtId="2" fontId="19" fillId="38" borderId="19" xfId="0" applyNumberFormat="1" applyFont="1" applyFill="1" applyBorder="1" applyAlignment="1">
      <alignment horizontal="center"/>
    </xf>
    <xf numFmtId="166" fontId="19" fillId="38" borderId="19" xfId="0" applyNumberFormat="1" applyFont="1" applyFill="1" applyBorder="1" applyAlignment="1">
      <alignment horizontal="center"/>
    </xf>
    <xf numFmtId="165" fontId="19" fillId="38" borderId="19" xfId="0" applyNumberFormat="1" applyFont="1" applyFill="1" applyBorder="1" applyAlignment="1">
      <alignment horizontal="center"/>
    </xf>
    <xf numFmtId="170" fontId="19" fillId="53" borderId="19" xfId="0" applyNumberFormat="1" applyFont="1" applyFill="1" applyBorder="1" applyAlignment="1">
      <alignment horizontal="center"/>
    </xf>
    <xf numFmtId="170" fontId="19" fillId="38" borderId="19" xfId="0" applyNumberFormat="1" applyFont="1" applyFill="1" applyBorder="1" applyAlignment="1">
      <alignment horizontal="center"/>
    </xf>
    <xf numFmtId="171" fontId="19" fillId="38" borderId="19" xfId="0" applyNumberFormat="1" applyFont="1" applyFill="1" applyBorder="1" applyAlignment="1">
      <alignment horizontal="center"/>
    </xf>
    <xf numFmtId="171" fontId="19" fillId="53" borderId="28" xfId="0" applyNumberFormat="1" applyFont="1" applyFill="1" applyBorder="1" applyAlignment="1">
      <alignment horizontal="center"/>
    </xf>
    <xf numFmtId="165" fontId="19" fillId="49" borderId="25" xfId="0" applyNumberFormat="1" applyFont="1" applyFill="1" applyBorder="1" applyAlignment="1">
      <alignment horizontal="center"/>
    </xf>
    <xf numFmtId="2" fontId="19" fillId="49" borderId="0" xfId="0" applyNumberFormat="1" applyFont="1" applyFill="1" applyAlignment="1">
      <alignment horizontal="center"/>
    </xf>
    <xf numFmtId="166" fontId="19" fillId="49" borderId="0" xfId="0" applyNumberFormat="1" applyFont="1" applyFill="1" applyAlignment="1">
      <alignment horizontal="center"/>
    </xf>
    <xf numFmtId="0" fontId="20" fillId="0" borderId="0" xfId="0" applyFont="1" applyAlignment="1">
      <alignment horizontal="left"/>
    </xf>
    <xf numFmtId="0" fontId="19" fillId="40" borderId="21" xfId="0" applyFont="1" applyFill="1" applyBorder="1" applyAlignment="1">
      <alignment horizontal="center"/>
    </xf>
    <xf numFmtId="0" fontId="19" fillId="54" borderId="22" xfId="0" applyFont="1" applyFill="1" applyBorder="1" applyAlignment="1">
      <alignment horizontal="center"/>
    </xf>
    <xf numFmtId="168" fontId="19" fillId="54" borderId="22" xfId="0" applyNumberFormat="1" applyFont="1" applyFill="1" applyBorder="1" applyAlignment="1">
      <alignment horizontal="center"/>
    </xf>
    <xf numFmtId="164" fontId="19" fillId="54" borderId="24" xfId="0" applyNumberFormat="1" applyFont="1" applyFill="1" applyBorder="1" applyAlignment="1">
      <alignment horizontal="center"/>
    </xf>
    <xf numFmtId="0" fontId="19" fillId="40" borderId="25" xfId="0" applyFont="1" applyFill="1" applyBorder="1" applyAlignment="1">
      <alignment horizontal="center"/>
    </xf>
    <xf numFmtId="0" fontId="19" fillId="54" borderId="0" xfId="0" applyFont="1" applyFill="1" applyAlignment="1">
      <alignment horizontal="center"/>
    </xf>
    <xf numFmtId="168" fontId="19" fillId="54" borderId="0" xfId="0" applyNumberFormat="1" applyFont="1" applyFill="1" applyAlignment="1">
      <alignment horizontal="center"/>
    </xf>
    <xf numFmtId="164" fontId="19" fillId="54" borderId="26" xfId="0" applyNumberFormat="1" applyFont="1" applyFill="1" applyBorder="1" applyAlignment="1">
      <alignment horizontal="center"/>
    </xf>
    <xf numFmtId="0" fontId="19" fillId="40" borderId="10" xfId="0" applyFont="1" applyFill="1" applyBorder="1" applyAlignment="1">
      <alignment horizontal="left"/>
    </xf>
    <xf numFmtId="0" fontId="19" fillId="40" borderId="27" xfId="0" applyFont="1" applyFill="1" applyBorder="1" applyAlignment="1">
      <alignment horizontal="center"/>
    </xf>
    <xf numFmtId="0" fontId="19" fillId="54" borderId="19" xfId="0" applyFont="1" applyFill="1" applyBorder="1" applyAlignment="1">
      <alignment horizontal="center"/>
    </xf>
    <xf numFmtId="168" fontId="19" fillId="54" borderId="19" xfId="0" applyNumberFormat="1" applyFont="1" applyFill="1" applyBorder="1" applyAlignment="1">
      <alignment horizontal="center"/>
    </xf>
    <xf numFmtId="164" fontId="19" fillId="54" borderId="28" xfId="0" applyNumberFormat="1" applyFont="1" applyFill="1" applyBorder="1" applyAlignment="1">
      <alignment horizontal="center"/>
    </xf>
    <xf numFmtId="0" fontId="19" fillId="55" borderId="0" xfId="0" applyFont="1" applyFill="1"/>
    <xf numFmtId="0" fontId="19" fillId="36" borderId="0" xfId="0" applyFont="1" applyFill="1"/>
    <xf numFmtId="0" fontId="19" fillId="56" borderId="22" xfId="0" applyFont="1" applyFill="1" applyBorder="1"/>
    <xf numFmtId="0" fontId="19" fillId="0" borderId="22" xfId="0" applyFont="1" applyBorder="1"/>
    <xf numFmtId="0" fontId="19" fillId="36" borderId="22" xfId="0" applyFont="1" applyFill="1" applyBorder="1"/>
    <xf numFmtId="0" fontId="19" fillId="57" borderId="24" xfId="0" applyFont="1" applyFill="1" applyBorder="1"/>
    <xf numFmtId="0" fontId="19" fillId="56" borderId="0" xfId="0" applyFont="1" applyFill="1"/>
    <xf numFmtId="0" fontId="19" fillId="57" borderId="26" xfId="0" applyFont="1" applyFill="1" applyBorder="1"/>
    <xf numFmtId="0" fontId="19" fillId="56" borderId="19" xfId="0" applyFont="1" applyFill="1" applyBorder="1"/>
    <xf numFmtId="0" fontId="19" fillId="36" borderId="19" xfId="0" applyFont="1" applyFill="1" applyBorder="1"/>
    <xf numFmtId="0" fontId="19" fillId="57" borderId="28" xfId="0" applyFont="1" applyFill="1" applyBorder="1"/>
    <xf numFmtId="1" fontId="19" fillId="0" borderId="21" xfId="0" applyNumberFormat="1" applyFont="1" applyBorder="1"/>
    <xf numFmtId="1" fontId="19" fillId="56" borderId="22" xfId="0" applyNumberFormat="1" applyFont="1" applyFill="1" applyBorder="1"/>
    <xf numFmtId="1" fontId="19" fillId="0" borderId="22" xfId="0" applyNumberFormat="1" applyFont="1" applyBorder="1"/>
    <xf numFmtId="1" fontId="19" fillId="36" borderId="22" xfId="0" applyNumberFormat="1" applyFont="1" applyFill="1" applyBorder="1"/>
    <xf numFmtId="1" fontId="19" fillId="57" borderId="24" xfId="0" applyNumberFormat="1" applyFont="1" applyFill="1" applyBorder="1"/>
    <xf numFmtId="1" fontId="19" fillId="0" borderId="25" xfId="0" applyNumberFormat="1" applyFont="1" applyBorder="1"/>
    <xf numFmtId="1" fontId="19" fillId="56" borderId="0" xfId="0" applyNumberFormat="1" applyFont="1" applyFill="1"/>
    <xf numFmtId="1" fontId="19" fillId="36" borderId="0" xfId="0" applyNumberFormat="1" applyFont="1" applyFill="1"/>
    <xf numFmtId="1" fontId="19" fillId="57" borderId="26" xfId="0" applyNumberFormat="1" applyFont="1" applyFill="1" applyBorder="1"/>
    <xf numFmtId="1" fontId="19" fillId="0" borderId="27" xfId="0" applyNumberFormat="1" applyFont="1" applyBorder="1"/>
    <xf numFmtId="1" fontId="19" fillId="56" borderId="19" xfId="0" applyNumberFormat="1" applyFont="1" applyFill="1" applyBorder="1"/>
    <xf numFmtId="1" fontId="19" fillId="0" borderId="19" xfId="0" applyNumberFormat="1" applyFont="1" applyBorder="1"/>
    <xf numFmtId="1" fontId="19" fillId="36" borderId="19" xfId="0" applyNumberFormat="1" applyFont="1" applyFill="1" applyBorder="1"/>
    <xf numFmtId="1" fontId="19" fillId="57" borderId="28" xfId="0" applyNumberFormat="1" applyFont="1" applyFill="1" applyBorder="1"/>
    <xf numFmtId="164" fontId="19" fillId="0" borderId="21" xfId="0" applyNumberFormat="1" applyFont="1" applyBorder="1"/>
    <xf numFmtId="164" fontId="19" fillId="56" borderId="22" xfId="0" applyNumberFormat="1" applyFont="1" applyFill="1" applyBorder="1"/>
    <xf numFmtId="164" fontId="19" fillId="0" borderId="22" xfId="0" applyNumberFormat="1" applyFont="1" applyBorder="1"/>
    <xf numFmtId="164" fontId="19" fillId="36" borderId="22" xfId="0" applyNumberFormat="1" applyFont="1" applyFill="1" applyBorder="1"/>
    <xf numFmtId="164" fontId="19" fillId="57" borderId="24" xfId="0" applyNumberFormat="1" applyFont="1" applyFill="1" applyBorder="1"/>
    <xf numFmtId="164" fontId="19" fillId="0" borderId="25" xfId="0" applyNumberFormat="1" applyFont="1" applyBorder="1"/>
    <xf numFmtId="164" fontId="19" fillId="56" borderId="0" xfId="0" applyNumberFormat="1" applyFont="1" applyFill="1"/>
    <xf numFmtId="164" fontId="19" fillId="36" borderId="0" xfId="0" applyNumberFormat="1" applyFont="1" applyFill="1"/>
    <xf numFmtId="164" fontId="19" fillId="57" borderId="26" xfId="0" applyNumberFormat="1" applyFont="1" applyFill="1" applyBorder="1"/>
    <xf numFmtId="164" fontId="19" fillId="0" borderId="27" xfId="0" applyNumberFormat="1" applyFont="1" applyBorder="1"/>
    <xf numFmtId="164" fontId="19" fillId="56" borderId="19" xfId="0" applyNumberFormat="1" applyFont="1" applyFill="1" applyBorder="1"/>
    <xf numFmtId="164" fontId="19" fillId="0" borderId="19" xfId="0" applyNumberFormat="1" applyFont="1" applyBorder="1"/>
    <xf numFmtId="164" fontId="19" fillId="36" borderId="19" xfId="0" applyNumberFormat="1" applyFont="1" applyFill="1" applyBorder="1"/>
    <xf numFmtId="164" fontId="19" fillId="57" borderId="28" xfId="0" applyNumberFormat="1" applyFont="1" applyFill="1" applyBorder="1"/>
    <xf numFmtId="170" fontId="19" fillId="0" borderId="21" xfId="0" applyNumberFormat="1" applyFont="1" applyBorder="1"/>
    <xf numFmtId="170" fontId="19" fillId="56" borderId="22" xfId="0" applyNumberFormat="1" applyFont="1" applyFill="1" applyBorder="1"/>
    <xf numFmtId="170" fontId="19" fillId="0" borderId="22" xfId="0" applyNumberFormat="1" applyFont="1" applyBorder="1"/>
    <xf numFmtId="170" fontId="19" fillId="36" borderId="22" xfId="0" applyNumberFormat="1" applyFont="1" applyFill="1" applyBorder="1"/>
    <xf numFmtId="170" fontId="19" fillId="57" borderId="24" xfId="0" applyNumberFormat="1" applyFont="1" applyFill="1" applyBorder="1"/>
    <xf numFmtId="170" fontId="19" fillId="0" borderId="25" xfId="0" applyNumberFormat="1" applyFont="1" applyBorder="1"/>
    <xf numFmtId="170" fontId="19" fillId="56" borderId="0" xfId="0" applyNumberFormat="1" applyFont="1" applyFill="1"/>
    <xf numFmtId="170" fontId="19" fillId="0" borderId="0" xfId="0" applyNumberFormat="1" applyFont="1"/>
    <xf numFmtId="170" fontId="19" fillId="36" borderId="0" xfId="0" applyNumberFormat="1" applyFont="1" applyFill="1"/>
    <xf numFmtId="170" fontId="19" fillId="57" borderId="26" xfId="0" applyNumberFormat="1" applyFont="1" applyFill="1" applyBorder="1"/>
    <xf numFmtId="170" fontId="19" fillId="0" borderId="27" xfId="0" applyNumberFormat="1" applyFont="1" applyBorder="1"/>
    <xf numFmtId="170" fontId="19" fillId="56" borderId="19" xfId="0" applyNumberFormat="1" applyFont="1" applyFill="1" applyBorder="1"/>
    <xf numFmtId="170" fontId="19" fillId="0" borderId="19" xfId="0" applyNumberFormat="1" applyFont="1" applyBorder="1"/>
    <xf numFmtId="170" fontId="19" fillId="36" borderId="19" xfId="0" applyNumberFormat="1" applyFont="1" applyFill="1" applyBorder="1"/>
    <xf numFmtId="170" fontId="19" fillId="57" borderId="28" xfId="0" applyNumberFormat="1" applyFont="1" applyFill="1" applyBorder="1"/>
    <xf numFmtId="9" fontId="19" fillId="0" borderId="21" xfId="0" applyNumberFormat="1" applyFont="1" applyBorder="1"/>
    <xf numFmtId="9" fontId="19" fillId="56" borderId="22" xfId="0" applyNumberFormat="1" applyFont="1" applyFill="1" applyBorder="1"/>
    <xf numFmtId="9" fontId="19" fillId="0" borderId="22" xfId="0" applyNumberFormat="1" applyFont="1" applyBorder="1"/>
    <xf numFmtId="9" fontId="19" fillId="36" borderId="22" xfId="0" applyNumberFormat="1" applyFont="1" applyFill="1" applyBorder="1"/>
    <xf numFmtId="9" fontId="19" fillId="57" borderId="24" xfId="0" applyNumberFormat="1" applyFont="1" applyFill="1" applyBorder="1"/>
    <xf numFmtId="9" fontId="19" fillId="0" borderId="25" xfId="0" applyNumberFormat="1" applyFont="1" applyBorder="1"/>
    <xf numFmtId="9" fontId="19" fillId="56" borderId="0" xfId="0" applyNumberFormat="1" applyFont="1" applyFill="1"/>
    <xf numFmtId="9" fontId="19" fillId="0" borderId="0" xfId="0" applyNumberFormat="1" applyFont="1"/>
    <xf numFmtId="9" fontId="19" fillId="36" borderId="0" xfId="0" applyNumberFormat="1" applyFont="1" applyFill="1"/>
    <xf numFmtId="9" fontId="19" fillId="57" borderId="26" xfId="0" applyNumberFormat="1" applyFont="1" applyFill="1" applyBorder="1"/>
    <xf numFmtId="9" fontId="19" fillId="0" borderId="27" xfId="0" applyNumberFormat="1" applyFont="1" applyBorder="1"/>
    <xf numFmtId="9" fontId="19" fillId="56" borderId="19" xfId="0" applyNumberFormat="1" applyFont="1" applyFill="1" applyBorder="1"/>
    <xf numFmtId="9" fontId="19" fillId="0" borderId="19" xfId="0" applyNumberFormat="1" applyFont="1" applyBorder="1"/>
    <xf numFmtId="9" fontId="19" fillId="36" borderId="19" xfId="0" applyNumberFormat="1" applyFont="1" applyFill="1" applyBorder="1"/>
    <xf numFmtId="9" fontId="19" fillId="57" borderId="28" xfId="0" applyNumberFormat="1" applyFont="1" applyFill="1" applyBorder="1"/>
    <xf numFmtId="0" fontId="19" fillId="58" borderId="10" xfId="0" applyFont="1" applyFill="1" applyBorder="1" applyAlignment="1">
      <alignment horizontal="center"/>
    </xf>
    <xf numFmtId="1" fontId="19" fillId="59" borderId="0" xfId="0" applyNumberFormat="1" applyFont="1" applyFill="1"/>
    <xf numFmtId="1" fontId="19" fillId="60" borderId="0" xfId="0" applyNumberFormat="1" applyFont="1" applyFill="1"/>
    <xf numFmtId="1" fontId="19" fillId="61" borderId="0" xfId="0" applyNumberFormat="1" applyFont="1" applyFill="1"/>
    <xf numFmtId="0" fontId="19" fillId="62" borderId="0" xfId="0" applyFont="1" applyFill="1"/>
    <xf numFmtId="0" fontId="19" fillId="61" borderId="0" xfId="0" applyFont="1" applyFill="1"/>
    <xf numFmtId="0" fontId="19" fillId="63" borderId="0" xfId="0" applyFont="1" applyFill="1"/>
    <xf numFmtId="0" fontId="19" fillId="41" borderId="30" xfId="0" applyFont="1" applyFill="1" applyBorder="1"/>
    <xf numFmtId="0" fontId="19" fillId="41" borderId="10" xfId="0" applyFont="1" applyFill="1" applyBorder="1"/>
    <xf numFmtId="0" fontId="19" fillId="55" borderId="10" xfId="0" applyFont="1" applyFill="1" applyBorder="1"/>
    <xf numFmtId="2" fontId="19" fillId="33" borderId="10" xfId="0" applyNumberFormat="1" applyFont="1" applyFill="1" applyBorder="1"/>
    <xf numFmtId="170" fontId="19" fillId="40" borderId="10" xfId="0" applyNumberFormat="1" applyFont="1" applyFill="1" applyBorder="1"/>
    <xf numFmtId="1" fontId="19" fillId="37" borderId="0" xfId="0" applyNumberFormat="1" applyFont="1" applyFill="1"/>
    <xf numFmtId="165" fontId="19" fillId="46" borderId="10" xfId="0" applyNumberFormat="1" applyFont="1" applyFill="1" applyBorder="1"/>
    <xf numFmtId="1" fontId="19" fillId="63" borderId="10" xfId="0" applyNumberFormat="1" applyFont="1" applyFill="1" applyBorder="1"/>
    <xf numFmtId="0" fontId="19" fillId="46" borderId="0" xfId="0" applyFont="1" applyFill="1" applyAlignment="1">
      <alignment horizontal="center"/>
    </xf>
    <xf numFmtId="0" fontId="19" fillId="0" borderId="11" xfId="0" applyFont="1" applyBorder="1"/>
    <xf numFmtId="0" fontId="19" fillId="41" borderId="13" xfId="0" applyFont="1" applyFill="1" applyBorder="1"/>
    <xf numFmtId="0" fontId="19" fillId="0" borderId="14" xfId="0" applyFont="1" applyBorder="1"/>
    <xf numFmtId="0" fontId="19" fillId="0" borderId="15" xfId="0" applyFont="1" applyBorder="1"/>
    <xf numFmtId="2" fontId="19" fillId="0" borderId="15" xfId="0" applyNumberFormat="1" applyFont="1" applyBorder="1"/>
    <xf numFmtId="1" fontId="19" fillId="63" borderId="15" xfId="0" applyNumberFormat="1" applyFont="1" applyFill="1" applyBorder="1"/>
    <xf numFmtId="167" fontId="19" fillId="0" borderId="15" xfId="0" applyNumberFormat="1" applyFont="1" applyBorder="1"/>
    <xf numFmtId="164" fontId="19" fillId="0" borderId="15" xfId="0" applyNumberFormat="1" applyFont="1" applyBorder="1"/>
    <xf numFmtId="170" fontId="19" fillId="55" borderId="15" xfId="0" applyNumberFormat="1" applyFont="1" applyFill="1" applyBorder="1"/>
    <xf numFmtId="170" fontId="19" fillId="58" borderId="15" xfId="0" applyNumberFormat="1" applyFont="1" applyFill="1" applyBorder="1"/>
    <xf numFmtId="0" fontId="19" fillId="0" borderId="16" xfId="0" applyFont="1" applyBorder="1"/>
    <xf numFmtId="9" fontId="19" fillId="33" borderId="18" xfId="0" applyNumberFormat="1" applyFont="1" applyFill="1" applyBorder="1"/>
    <xf numFmtId="0" fontId="19" fillId="0" borderId="24" xfId="0" applyFont="1" applyBorder="1" applyAlignment="1">
      <alignment horizontal="center"/>
    </xf>
    <xf numFmtId="0" fontId="20" fillId="0" borderId="25" xfId="0" applyFont="1" applyBorder="1" applyAlignment="1">
      <alignment horizontal="center"/>
    </xf>
    <xf numFmtId="171" fontId="19" fillId="0" borderId="0" xfId="0" applyNumberFormat="1" applyFont="1" applyAlignment="1">
      <alignment horizontal="center"/>
    </xf>
    <xf numFmtId="2" fontId="19" fillId="0" borderId="25" xfId="0" applyNumberFormat="1" applyFont="1" applyBorder="1" applyAlignment="1">
      <alignment horizontal="center"/>
    </xf>
    <xf numFmtId="0" fontId="23" fillId="37" borderId="0" xfId="0" applyFont="1" applyFill="1" applyAlignment="1">
      <alignment horizontal="center"/>
    </xf>
    <xf numFmtId="2" fontId="19" fillId="37" borderId="25" xfId="0" applyNumberFormat="1" applyFont="1" applyFill="1" applyBorder="1" applyAlignment="1">
      <alignment horizontal="center"/>
    </xf>
    <xf numFmtId="0" fontId="19" fillId="41" borderId="0" xfId="0" applyFont="1" applyFill="1" applyAlignment="1">
      <alignment horizontal="center"/>
    </xf>
    <xf numFmtId="0" fontId="23" fillId="41" borderId="0" xfId="0" applyFont="1" applyFill="1" applyAlignment="1">
      <alignment horizontal="center"/>
    </xf>
    <xf numFmtId="168" fontId="19" fillId="41" borderId="0" xfId="0" applyNumberFormat="1" applyFont="1" applyFill="1" applyAlignment="1">
      <alignment horizontal="center"/>
    </xf>
    <xf numFmtId="2" fontId="19" fillId="41" borderId="25" xfId="0" applyNumberFormat="1" applyFont="1" applyFill="1" applyBorder="1" applyAlignment="1">
      <alignment horizontal="center"/>
    </xf>
    <xf numFmtId="1" fontId="19" fillId="42" borderId="0" xfId="0" applyNumberFormat="1" applyFont="1" applyFill="1" applyAlignment="1">
      <alignment horizontal="center"/>
    </xf>
    <xf numFmtId="0" fontId="19" fillId="42" borderId="0" xfId="0" applyFont="1" applyFill="1" applyAlignment="1">
      <alignment horizontal="center"/>
    </xf>
    <xf numFmtId="0" fontId="23" fillId="42" borderId="0" xfId="0" applyFont="1" applyFill="1" applyAlignment="1">
      <alignment horizontal="center"/>
    </xf>
    <xf numFmtId="165" fontId="19" fillId="42" borderId="0" xfId="0" applyNumberFormat="1" applyFont="1" applyFill="1" applyAlignment="1">
      <alignment horizontal="center"/>
    </xf>
    <xf numFmtId="168" fontId="19" fillId="42" borderId="0" xfId="0" applyNumberFormat="1" applyFont="1" applyFill="1" applyAlignment="1">
      <alignment horizontal="center"/>
    </xf>
    <xf numFmtId="2" fontId="19" fillId="42" borderId="0" xfId="0" applyNumberFormat="1" applyFont="1" applyFill="1" applyAlignment="1">
      <alignment horizontal="center"/>
    </xf>
    <xf numFmtId="171" fontId="19" fillId="42" borderId="0" xfId="0" applyNumberFormat="1" applyFont="1" applyFill="1" applyAlignment="1">
      <alignment horizontal="center"/>
    </xf>
    <xf numFmtId="2" fontId="19" fillId="42" borderId="25" xfId="0" applyNumberFormat="1" applyFont="1" applyFill="1" applyBorder="1" applyAlignment="1">
      <alignment horizontal="center"/>
    </xf>
    <xf numFmtId="170" fontId="19" fillId="42" borderId="0" xfId="0" applyNumberFormat="1" applyFont="1" applyFill="1" applyAlignment="1">
      <alignment horizontal="center"/>
    </xf>
    <xf numFmtId="9" fontId="19" fillId="42" borderId="26" xfId="0" applyNumberFormat="1" applyFont="1" applyFill="1" applyBorder="1" applyAlignment="1">
      <alignment horizontal="center"/>
    </xf>
    <xf numFmtId="0" fontId="23" fillId="33" borderId="0" xfId="0" applyFont="1" applyFill="1" applyAlignment="1">
      <alignment horizontal="center"/>
    </xf>
    <xf numFmtId="165" fontId="19" fillId="33" borderId="0" xfId="0" applyNumberFormat="1" applyFont="1" applyFill="1" applyAlignment="1">
      <alignment horizontal="center"/>
    </xf>
    <xf numFmtId="171" fontId="19" fillId="33" borderId="0" xfId="0" applyNumberFormat="1" applyFont="1" applyFill="1" applyAlignment="1">
      <alignment horizontal="center"/>
    </xf>
    <xf numFmtId="2" fontId="19" fillId="33" borderId="25" xfId="0" applyNumberFormat="1" applyFont="1" applyFill="1" applyBorder="1" applyAlignment="1">
      <alignment horizontal="center"/>
    </xf>
    <xf numFmtId="9" fontId="19" fillId="33" borderId="26" xfId="0" applyNumberFormat="1" applyFont="1" applyFill="1" applyBorder="1" applyAlignment="1">
      <alignment horizontal="center"/>
    </xf>
    <xf numFmtId="2" fontId="19" fillId="0" borderId="27" xfId="0" applyNumberFormat="1" applyFont="1" applyBorder="1" applyAlignment="1">
      <alignment horizontal="center"/>
    </xf>
    <xf numFmtId="0" fontId="21" fillId="0" borderId="0" xfId="42" applyFont="1"/>
    <xf numFmtId="0" fontId="24" fillId="0" borderId="0" xfId="0" applyFont="1"/>
    <xf numFmtId="3" fontId="19" fillId="0" borderId="0" xfId="0" applyNumberFormat="1" applyFont="1"/>
    <xf numFmtId="2" fontId="19" fillId="46" borderId="10" xfId="0" applyNumberFormat="1" applyFont="1" applyFill="1" applyBorder="1"/>
    <xf numFmtId="170" fontId="19" fillId="33" borderId="10" xfId="0" applyNumberFormat="1" applyFont="1" applyFill="1" applyBorder="1"/>
    <xf numFmtId="0" fontId="20" fillId="0" borderId="29" xfId="0" applyFont="1" applyBorder="1" applyAlignment="1">
      <alignment horizontal="center"/>
    </xf>
    <xf numFmtId="0" fontId="20" fillId="55" borderId="25" xfId="0" applyFont="1" applyFill="1" applyBorder="1" applyAlignment="1">
      <alignment horizontal="center"/>
    </xf>
    <xf numFmtId="0" fontId="20" fillId="55" borderId="0" xfId="0" applyFont="1" applyFill="1" applyAlignment="1">
      <alignment horizontal="center"/>
    </xf>
    <xf numFmtId="0" fontId="20" fillId="55" borderId="26" xfId="0" applyFont="1" applyFill="1" applyBorder="1" applyAlignment="1">
      <alignment horizontal="center"/>
    </xf>
    <xf numFmtId="0" fontId="19" fillId="41" borderId="21" xfId="0" applyFont="1" applyFill="1" applyBorder="1" applyAlignment="1">
      <alignment horizontal="center"/>
    </xf>
    <xf numFmtId="0" fontId="19" fillId="41" borderId="22" xfId="0" applyFont="1" applyFill="1" applyBorder="1" applyAlignment="1">
      <alignment horizontal="center"/>
    </xf>
    <xf numFmtId="0" fontId="19" fillId="41" borderId="24" xfId="0" applyFont="1" applyFill="1" applyBorder="1" applyAlignment="1">
      <alignment horizontal="center"/>
    </xf>
    <xf numFmtId="165" fontId="19" fillId="41" borderId="26" xfId="0" applyNumberFormat="1" applyFont="1" applyFill="1" applyBorder="1" applyAlignment="1">
      <alignment horizontal="center"/>
    </xf>
    <xf numFmtId="0" fontId="19" fillId="41" borderId="27" xfId="0" applyFont="1" applyFill="1" applyBorder="1" applyAlignment="1">
      <alignment horizontal="center"/>
    </xf>
    <xf numFmtId="0" fontId="19" fillId="41" borderId="19" xfId="0" applyFont="1" applyFill="1" applyBorder="1" applyAlignment="1">
      <alignment horizontal="center"/>
    </xf>
    <xf numFmtId="0" fontId="19" fillId="41" borderId="28" xfId="0" applyFont="1" applyFill="1" applyBorder="1" applyAlignment="1">
      <alignment horizontal="center"/>
    </xf>
    <xf numFmtId="170" fontId="19" fillId="41" borderId="25" xfId="0" applyNumberFormat="1" applyFont="1" applyFill="1" applyBorder="1" applyAlignment="1">
      <alignment horizontal="center"/>
    </xf>
    <xf numFmtId="170" fontId="19" fillId="41" borderId="26" xfId="0" applyNumberFormat="1" applyFont="1" applyFill="1" applyBorder="1" applyAlignment="1">
      <alignment horizontal="center"/>
    </xf>
    <xf numFmtId="166" fontId="19" fillId="41" borderId="25" xfId="0" applyNumberFormat="1" applyFont="1" applyFill="1" applyBorder="1" applyAlignment="1">
      <alignment horizontal="center"/>
    </xf>
    <xf numFmtId="166" fontId="19" fillId="41" borderId="26" xfId="0" applyNumberFormat="1" applyFont="1" applyFill="1" applyBorder="1" applyAlignment="1">
      <alignment horizontal="center"/>
    </xf>
    <xf numFmtId="0" fontId="19" fillId="37" borderId="26" xfId="0" applyFont="1" applyFill="1" applyBorder="1" applyAlignment="1">
      <alignment horizontal="center"/>
    </xf>
    <xf numFmtId="1" fontId="19" fillId="41" borderId="25" xfId="0" applyNumberFormat="1" applyFont="1" applyFill="1" applyBorder="1" applyAlignment="1">
      <alignment horizontal="center"/>
    </xf>
    <xf numFmtId="1" fontId="19" fillId="41" borderId="26" xfId="0" applyNumberFormat="1" applyFont="1" applyFill="1" applyBorder="1" applyAlignment="1">
      <alignment horizontal="center"/>
    </xf>
    <xf numFmtId="0" fontId="20" fillId="0" borderId="22" xfId="0" applyFont="1" applyBorder="1" applyAlignment="1">
      <alignment horizontal="center"/>
    </xf>
    <xf numFmtId="164" fontId="19" fillId="41" borderId="21" xfId="0" applyNumberFormat="1" applyFont="1" applyFill="1" applyBorder="1" applyAlignment="1">
      <alignment horizontal="center"/>
    </xf>
    <xf numFmtId="164" fontId="19" fillId="41" borderId="22" xfId="0" applyNumberFormat="1" applyFont="1" applyFill="1" applyBorder="1" applyAlignment="1">
      <alignment horizontal="center"/>
    </xf>
    <xf numFmtId="164" fontId="19" fillId="41" borderId="24" xfId="0" applyNumberFormat="1" applyFont="1" applyFill="1" applyBorder="1" applyAlignment="1">
      <alignment horizontal="center"/>
    </xf>
    <xf numFmtId="1" fontId="19" fillId="41" borderId="27" xfId="0" applyNumberFormat="1" applyFont="1" applyFill="1" applyBorder="1" applyAlignment="1">
      <alignment horizontal="center"/>
    </xf>
    <xf numFmtId="1" fontId="19" fillId="41" borderId="19" xfId="0" applyNumberFormat="1" applyFont="1" applyFill="1" applyBorder="1" applyAlignment="1">
      <alignment horizontal="center"/>
    </xf>
    <xf numFmtId="1" fontId="19" fillId="41" borderId="28" xfId="0" applyNumberFormat="1" applyFont="1" applyFill="1" applyBorder="1" applyAlignment="1">
      <alignment horizontal="center"/>
    </xf>
    <xf numFmtId="166" fontId="19" fillId="37" borderId="21" xfId="0" applyNumberFormat="1" applyFont="1" applyFill="1" applyBorder="1" applyAlignment="1">
      <alignment horizontal="center"/>
    </xf>
    <xf numFmtId="166" fontId="19" fillId="37" borderId="22" xfId="0" applyNumberFormat="1" applyFont="1" applyFill="1" applyBorder="1" applyAlignment="1">
      <alignment horizontal="center"/>
    </xf>
    <xf numFmtId="166" fontId="19" fillId="37" borderId="24" xfId="0" applyNumberFormat="1" applyFont="1" applyFill="1" applyBorder="1" applyAlignment="1">
      <alignment horizontal="center"/>
    </xf>
    <xf numFmtId="170" fontId="19" fillId="33" borderId="26" xfId="0" applyNumberFormat="1" applyFont="1" applyFill="1" applyBorder="1" applyAlignment="1">
      <alignment horizontal="center"/>
    </xf>
    <xf numFmtId="9" fontId="19" fillId="41" borderId="27" xfId="0" applyNumberFormat="1" applyFont="1" applyFill="1" applyBorder="1" applyAlignment="1">
      <alignment horizontal="center"/>
    </xf>
    <xf numFmtId="9" fontId="19" fillId="41" borderId="19" xfId="0" applyNumberFormat="1" applyFont="1" applyFill="1" applyBorder="1" applyAlignment="1">
      <alignment horizontal="center"/>
    </xf>
    <xf numFmtId="9" fontId="19" fillId="33" borderId="19" xfId="0" applyNumberFormat="1" applyFont="1" applyFill="1" applyBorder="1" applyAlignment="1">
      <alignment horizontal="center"/>
    </xf>
    <xf numFmtId="0" fontId="20" fillId="0" borderId="31" xfId="0" applyFont="1" applyBorder="1" applyAlignment="1">
      <alignment horizontal="center"/>
    </xf>
    <xf numFmtId="172" fontId="19" fillId="41" borderId="32" xfId="0" applyNumberFormat="1" applyFont="1" applyFill="1" applyBorder="1" applyAlignment="1">
      <alignment horizontal="center"/>
    </xf>
    <xf numFmtId="172" fontId="19" fillId="33" borderId="31" xfId="0" applyNumberFormat="1" applyFont="1" applyFill="1" applyBorder="1" applyAlignment="1">
      <alignment horizontal="center"/>
    </xf>
    <xf numFmtId="172" fontId="19" fillId="41" borderId="31" xfId="0" applyNumberFormat="1" applyFont="1" applyFill="1" applyBorder="1" applyAlignment="1">
      <alignment horizontal="center"/>
    </xf>
    <xf numFmtId="172" fontId="19" fillId="41" borderId="33" xfId="0" applyNumberFormat="1" applyFont="1" applyFill="1" applyBorder="1" applyAlignment="1">
      <alignment horizontal="center"/>
    </xf>
    <xf numFmtId="1" fontId="19" fillId="46" borderId="10" xfId="0" applyNumberFormat="1" applyFont="1" applyFill="1" applyBorder="1"/>
    <xf numFmtId="0" fontId="22" fillId="0" borderId="0" xfId="0" applyFont="1"/>
    <xf numFmtId="170" fontId="19" fillId="37" borderId="25" xfId="0" applyNumberFormat="1" applyFont="1" applyFill="1" applyBorder="1" applyAlignment="1">
      <alignment horizontal="center"/>
    </xf>
    <xf numFmtId="166" fontId="19" fillId="41" borderId="21" xfId="0" applyNumberFormat="1" applyFont="1" applyFill="1" applyBorder="1" applyAlignment="1">
      <alignment horizontal="center"/>
    </xf>
    <xf numFmtId="166" fontId="19" fillId="41" borderId="24" xfId="0" applyNumberFormat="1" applyFont="1" applyFill="1" applyBorder="1" applyAlignment="1">
      <alignment horizontal="center"/>
    </xf>
    <xf numFmtId="1" fontId="19" fillId="37" borderId="25" xfId="0" applyNumberFormat="1" applyFont="1" applyFill="1" applyBorder="1" applyAlignment="1">
      <alignment horizontal="center"/>
    </xf>
    <xf numFmtId="1" fontId="19" fillId="37" borderId="26" xfId="0" applyNumberFormat="1" applyFont="1" applyFill="1" applyBorder="1" applyAlignment="1">
      <alignment horizontal="center"/>
    </xf>
    <xf numFmtId="9" fontId="19" fillId="41" borderId="32" xfId="0" applyNumberFormat="1" applyFont="1" applyFill="1" applyBorder="1" applyAlignment="1">
      <alignment horizontal="center"/>
    </xf>
    <xf numFmtId="9" fontId="19" fillId="41" borderId="31" xfId="0" applyNumberFormat="1" applyFont="1" applyFill="1" applyBorder="1" applyAlignment="1">
      <alignment horizontal="center"/>
    </xf>
    <xf numFmtId="9" fontId="19" fillId="41" borderId="33" xfId="0" applyNumberFormat="1" applyFont="1" applyFill="1" applyBorder="1" applyAlignment="1">
      <alignment horizontal="center"/>
    </xf>
    <xf numFmtId="0" fontId="19" fillId="46" borderId="10" xfId="0" applyFont="1" applyFill="1" applyBorder="1"/>
    <xf numFmtId="170" fontId="19" fillId="37" borderId="21" xfId="0" applyNumberFormat="1" applyFont="1" applyFill="1" applyBorder="1" applyAlignment="1">
      <alignment horizontal="center"/>
    </xf>
    <xf numFmtId="170" fontId="19" fillId="37" borderId="22" xfId="0" applyNumberFormat="1" applyFont="1" applyFill="1" applyBorder="1" applyAlignment="1">
      <alignment horizontal="center"/>
    </xf>
    <xf numFmtId="170" fontId="19" fillId="37" borderId="24" xfId="0" applyNumberFormat="1" applyFont="1" applyFill="1" applyBorder="1" applyAlignment="1">
      <alignment horizontal="center"/>
    </xf>
    <xf numFmtId="166" fontId="19" fillId="37" borderId="25" xfId="0" applyNumberFormat="1" applyFont="1" applyFill="1" applyBorder="1" applyAlignment="1">
      <alignment horizontal="center"/>
    </xf>
    <xf numFmtId="166" fontId="19" fillId="37" borderId="26" xfId="0" applyNumberFormat="1" applyFont="1" applyFill="1" applyBorder="1" applyAlignment="1">
      <alignment horizontal="center"/>
    </xf>
    <xf numFmtId="170" fontId="19" fillId="37" borderId="26" xfId="0" applyNumberFormat="1" applyFont="1" applyFill="1" applyBorder="1" applyAlignment="1">
      <alignment horizontal="center"/>
    </xf>
    <xf numFmtId="1" fontId="19" fillId="37" borderId="27" xfId="0" applyNumberFormat="1" applyFont="1" applyFill="1" applyBorder="1" applyAlignment="1">
      <alignment horizontal="center"/>
    </xf>
    <xf numFmtId="1" fontId="19" fillId="37" borderId="19" xfId="0" applyNumberFormat="1" applyFont="1" applyFill="1" applyBorder="1" applyAlignment="1">
      <alignment horizontal="center"/>
    </xf>
    <xf numFmtId="1" fontId="19" fillId="37" borderId="28" xfId="0" applyNumberFormat="1" applyFont="1" applyFill="1" applyBorder="1" applyAlignment="1">
      <alignment horizontal="center"/>
    </xf>
    <xf numFmtId="0" fontId="19" fillId="59" borderId="0" xfId="0" applyFont="1" applyFill="1"/>
    <xf numFmtId="169" fontId="19" fillId="0" borderId="0" xfId="0" applyNumberFormat="1" applyFont="1"/>
    <xf numFmtId="170" fontId="19" fillId="61" borderId="0" xfId="0" applyNumberFormat="1" applyFont="1" applyFill="1"/>
    <xf numFmtId="0" fontId="19" fillId="64" borderId="0" xfId="0" applyFont="1" applyFill="1"/>
    <xf numFmtId="0" fontId="19" fillId="33" borderId="21" xfId="0" applyFont="1" applyFill="1" applyBorder="1" applyAlignment="1">
      <alignment horizontal="center"/>
    </xf>
    <xf numFmtId="0" fontId="19" fillId="33" borderId="22" xfId="0" applyFont="1" applyFill="1" applyBorder="1"/>
    <xf numFmtId="0" fontId="19" fillId="33" borderId="24" xfId="0" applyFont="1" applyFill="1" applyBorder="1"/>
    <xf numFmtId="2" fontId="19" fillId="41" borderId="34" xfId="0" applyNumberFormat="1" applyFont="1" applyFill="1" applyBorder="1" applyAlignment="1">
      <alignment horizontal="center"/>
    </xf>
    <xf numFmtId="0" fontId="19" fillId="65" borderId="34" xfId="0" applyFont="1" applyFill="1" applyBorder="1" applyAlignment="1">
      <alignment horizontal="center"/>
    </xf>
    <xf numFmtId="0" fontId="19" fillId="58" borderId="21" xfId="0" applyFont="1" applyFill="1" applyBorder="1" applyAlignment="1">
      <alignment horizontal="center"/>
    </xf>
    <xf numFmtId="0" fontId="19" fillId="58" borderId="24" xfId="0" applyFont="1" applyFill="1" applyBorder="1" applyAlignment="1">
      <alignment horizontal="left"/>
    </xf>
    <xf numFmtId="169" fontId="19" fillId="47" borderId="21" xfId="0" applyNumberFormat="1" applyFont="1" applyFill="1" applyBorder="1" applyAlignment="1">
      <alignment horizontal="right"/>
    </xf>
    <xf numFmtId="0" fontId="21" fillId="47" borderId="22" xfId="42" applyFont="1" applyFill="1" applyBorder="1"/>
    <xf numFmtId="0" fontId="19" fillId="47" borderId="22" xfId="0" applyFont="1" applyFill="1" applyBorder="1"/>
    <xf numFmtId="0" fontId="19" fillId="47" borderId="24" xfId="0" applyFont="1" applyFill="1" applyBorder="1"/>
    <xf numFmtId="0" fontId="19" fillId="33" borderId="26" xfId="0" applyFont="1" applyFill="1" applyBorder="1"/>
    <xf numFmtId="2" fontId="19" fillId="41" borderId="35" xfId="0" applyNumberFormat="1" applyFont="1" applyFill="1" applyBorder="1" applyAlignment="1">
      <alignment horizontal="center"/>
    </xf>
    <xf numFmtId="0" fontId="19" fillId="65" borderId="35" xfId="0" applyFont="1" applyFill="1" applyBorder="1" applyAlignment="1">
      <alignment horizontal="center"/>
    </xf>
    <xf numFmtId="0" fontId="19" fillId="58" borderId="25" xfId="0" applyFont="1" applyFill="1" applyBorder="1" applyAlignment="1">
      <alignment horizontal="center"/>
    </xf>
    <xf numFmtId="0" fontId="19" fillId="58" borderId="26" xfId="0" applyFont="1" applyFill="1" applyBorder="1" applyAlignment="1">
      <alignment horizontal="left"/>
    </xf>
    <xf numFmtId="169" fontId="19" fillId="47" borderId="25" xfId="0" applyNumberFormat="1" applyFont="1" applyFill="1" applyBorder="1" applyAlignment="1">
      <alignment horizontal="right"/>
    </xf>
    <xf numFmtId="0" fontId="21" fillId="47" borderId="0" xfId="42" applyFont="1" applyFill="1" applyBorder="1"/>
    <xf numFmtId="0" fontId="19" fillId="47" borderId="0" xfId="0" applyFont="1" applyFill="1"/>
    <xf numFmtId="0" fontId="19" fillId="47" borderId="26" xfId="0" applyFont="1" applyFill="1" applyBorder="1"/>
    <xf numFmtId="0" fontId="19" fillId="65" borderId="36" xfId="0" applyFont="1" applyFill="1" applyBorder="1" applyAlignment="1">
      <alignment horizontal="center"/>
    </xf>
    <xf numFmtId="1" fontId="19" fillId="33" borderId="25" xfId="0" applyNumberFormat="1" applyFont="1" applyFill="1" applyBorder="1" applyAlignment="1">
      <alignment horizontal="center"/>
    </xf>
    <xf numFmtId="2" fontId="19" fillId="33" borderId="27" xfId="0" applyNumberFormat="1" applyFont="1" applyFill="1" applyBorder="1" applyAlignment="1">
      <alignment horizontal="center"/>
    </xf>
    <xf numFmtId="0" fontId="19" fillId="33" borderId="19" xfId="0" applyFont="1" applyFill="1" applyBorder="1"/>
    <xf numFmtId="0" fontId="19" fillId="33" borderId="28" xfId="0" applyFont="1" applyFill="1" applyBorder="1"/>
    <xf numFmtId="0" fontId="19" fillId="58" borderId="27" xfId="0" applyFont="1" applyFill="1" applyBorder="1" applyAlignment="1">
      <alignment horizontal="center"/>
    </xf>
    <xf numFmtId="0" fontId="19" fillId="58" borderId="28" xfId="0" applyFont="1" applyFill="1" applyBorder="1" applyAlignment="1">
      <alignment horizontal="left"/>
    </xf>
    <xf numFmtId="2" fontId="19" fillId="41" borderId="36" xfId="0" applyNumberFormat="1" applyFont="1" applyFill="1" applyBorder="1" applyAlignment="1">
      <alignment horizontal="center"/>
    </xf>
    <xf numFmtId="169" fontId="19" fillId="47" borderId="25" xfId="0" applyNumberFormat="1" applyFont="1" applyFill="1" applyBorder="1"/>
    <xf numFmtId="169" fontId="19" fillId="47" borderId="27" xfId="0" applyNumberFormat="1" applyFont="1" applyFill="1" applyBorder="1"/>
    <xf numFmtId="0" fontId="19" fillId="47" borderId="19" xfId="0" applyFont="1" applyFill="1" applyBorder="1"/>
    <xf numFmtId="0" fontId="19" fillId="47" borderId="28" xfId="0" applyFont="1" applyFill="1" applyBorder="1"/>
    <xf numFmtId="2" fontId="20" fillId="0" borderId="17" xfId="0" applyNumberFormat="1" applyFont="1" applyBorder="1" applyAlignment="1">
      <alignment horizontal="center"/>
    </xf>
    <xf numFmtId="0" fontId="20" fillId="0" borderId="17" xfId="0" applyFont="1" applyBorder="1" applyAlignment="1">
      <alignment horizontal="center"/>
    </xf>
    <xf numFmtId="0" fontId="20" fillId="0" borderId="16" xfId="0" applyFont="1" applyBorder="1" applyAlignment="1">
      <alignment horizontal="center"/>
    </xf>
    <xf numFmtId="0" fontId="20" fillId="37" borderId="0" xfId="0" applyFont="1" applyFill="1" applyAlignment="1">
      <alignment horizontal="center"/>
    </xf>
    <xf numFmtId="0" fontId="19" fillId="43" borderId="14" xfId="0" applyFont="1" applyFill="1" applyBorder="1" applyAlignment="1">
      <alignment horizontal="center"/>
    </xf>
    <xf numFmtId="0" fontId="19" fillId="43" borderId="0" xfId="0" applyFont="1" applyFill="1" applyAlignment="1">
      <alignment horizontal="center"/>
    </xf>
    <xf numFmtId="0" fontId="19" fillId="43" borderId="15" xfId="0" applyFont="1" applyFill="1" applyBorder="1" applyAlignment="1">
      <alignment horizontal="center"/>
    </xf>
    <xf numFmtId="0" fontId="19" fillId="55" borderId="21" xfId="0" applyFont="1" applyFill="1" applyBorder="1" applyAlignment="1">
      <alignment horizontal="center"/>
    </xf>
    <xf numFmtId="166" fontId="19" fillId="55" borderId="22" xfId="0" applyNumberFormat="1" applyFont="1" applyFill="1" applyBorder="1" applyAlignment="1">
      <alignment horizontal="center"/>
    </xf>
    <xf numFmtId="164" fontId="19" fillId="55" borderId="22" xfId="0" applyNumberFormat="1" applyFont="1" applyFill="1" applyBorder="1" applyAlignment="1">
      <alignment horizontal="center"/>
    </xf>
    <xf numFmtId="165" fontId="19" fillId="55" borderId="22" xfId="0" applyNumberFormat="1" applyFont="1" applyFill="1" applyBorder="1" applyAlignment="1">
      <alignment horizontal="center"/>
    </xf>
    <xf numFmtId="170" fontId="19" fillId="55" borderId="22" xfId="0" applyNumberFormat="1" applyFont="1" applyFill="1" applyBorder="1" applyAlignment="1">
      <alignment horizontal="center"/>
    </xf>
    <xf numFmtId="2" fontId="19" fillId="55" borderId="22" xfId="0" applyNumberFormat="1" applyFont="1" applyFill="1" applyBorder="1" applyAlignment="1">
      <alignment horizontal="center"/>
    </xf>
    <xf numFmtId="167" fontId="19" fillId="55" borderId="22" xfId="0" applyNumberFormat="1" applyFont="1" applyFill="1" applyBorder="1" applyAlignment="1">
      <alignment horizontal="center"/>
    </xf>
    <xf numFmtId="1" fontId="19" fillId="55" borderId="22" xfId="0" applyNumberFormat="1" applyFont="1" applyFill="1" applyBorder="1" applyAlignment="1">
      <alignment horizontal="center"/>
    </xf>
    <xf numFmtId="167" fontId="19" fillId="55" borderId="24" xfId="0" applyNumberFormat="1" applyFont="1" applyFill="1" applyBorder="1" applyAlignment="1">
      <alignment horizontal="center"/>
    </xf>
    <xf numFmtId="0" fontId="19" fillId="0" borderId="17" xfId="0" applyFont="1" applyBorder="1" applyAlignment="1">
      <alignment horizontal="center"/>
    </xf>
    <xf numFmtId="0" fontId="19" fillId="43" borderId="16" xfId="0" applyFont="1" applyFill="1" applyBorder="1" applyAlignment="1">
      <alignment horizontal="center"/>
    </xf>
    <xf numFmtId="0" fontId="19" fillId="43" borderId="17" xfId="0" applyFont="1" applyFill="1" applyBorder="1" applyAlignment="1">
      <alignment horizontal="center"/>
    </xf>
    <xf numFmtId="0" fontId="19" fillId="43" borderId="18" xfId="0" applyFont="1" applyFill="1" applyBorder="1" applyAlignment="1">
      <alignment horizontal="center"/>
    </xf>
    <xf numFmtId="0" fontId="19" fillId="55" borderId="25" xfId="0" applyFont="1" applyFill="1" applyBorder="1" applyAlignment="1">
      <alignment horizontal="center"/>
    </xf>
    <xf numFmtId="166" fontId="19" fillId="55" borderId="0" xfId="0" applyNumberFormat="1" applyFont="1" applyFill="1" applyAlignment="1">
      <alignment horizontal="center"/>
    </xf>
    <xf numFmtId="164" fontId="19" fillId="55" borderId="0" xfId="0" applyNumberFormat="1" applyFont="1" applyFill="1" applyAlignment="1">
      <alignment horizontal="center"/>
    </xf>
    <xf numFmtId="165" fontId="19" fillId="55" borderId="0" xfId="0" applyNumberFormat="1" applyFont="1" applyFill="1" applyAlignment="1">
      <alignment horizontal="center"/>
    </xf>
    <xf numFmtId="170" fontId="19" fillId="55" borderId="0" xfId="0" applyNumberFormat="1" applyFont="1" applyFill="1" applyAlignment="1">
      <alignment horizontal="center"/>
    </xf>
    <xf numFmtId="2" fontId="19" fillId="55" borderId="0" xfId="0" applyNumberFormat="1" applyFont="1" applyFill="1" applyAlignment="1">
      <alignment horizontal="center"/>
    </xf>
    <xf numFmtId="167" fontId="19" fillId="55" borderId="0" xfId="0" applyNumberFormat="1" applyFont="1" applyFill="1" applyAlignment="1">
      <alignment horizontal="center"/>
    </xf>
    <xf numFmtId="1" fontId="19" fillId="55" borderId="0" xfId="0" applyNumberFormat="1" applyFont="1" applyFill="1" applyAlignment="1">
      <alignment horizontal="center"/>
    </xf>
    <xf numFmtId="167" fontId="19" fillId="55" borderId="26" xfId="0" applyNumberFormat="1" applyFont="1" applyFill="1" applyBorder="1" applyAlignment="1">
      <alignment horizontal="center"/>
    </xf>
    <xf numFmtId="0" fontId="19" fillId="55" borderId="27" xfId="0" applyFont="1" applyFill="1" applyBorder="1" applyAlignment="1">
      <alignment horizontal="center"/>
    </xf>
    <xf numFmtId="2" fontId="19" fillId="55" borderId="19" xfId="0" applyNumberFormat="1" applyFont="1" applyFill="1" applyBorder="1" applyAlignment="1">
      <alignment horizontal="center"/>
    </xf>
    <xf numFmtId="166" fontId="19" fillId="55" borderId="19" xfId="0" applyNumberFormat="1" applyFont="1" applyFill="1" applyBorder="1" applyAlignment="1">
      <alignment horizontal="center"/>
    </xf>
    <xf numFmtId="165" fontId="19" fillId="55" borderId="19" xfId="0" applyNumberFormat="1" applyFont="1" applyFill="1" applyBorder="1" applyAlignment="1">
      <alignment horizontal="center"/>
    </xf>
    <xf numFmtId="164" fontId="19" fillId="55" borderId="19" xfId="0" applyNumberFormat="1" applyFont="1" applyFill="1" applyBorder="1" applyAlignment="1">
      <alignment horizontal="center"/>
    </xf>
    <xf numFmtId="167" fontId="19" fillId="55" borderId="19" xfId="0" applyNumberFormat="1" applyFont="1" applyFill="1" applyBorder="1" applyAlignment="1">
      <alignment horizontal="center"/>
    </xf>
    <xf numFmtId="1" fontId="19" fillId="55" borderId="19" xfId="0" applyNumberFormat="1" applyFont="1" applyFill="1" applyBorder="1" applyAlignment="1">
      <alignment horizontal="center"/>
    </xf>
    <xf numFmtId="167" fontId="19" fillId="55" borderId="28" xfId="0" applyNumberFormat="1" applyFont="1" applyFill="1" applyBorder="1" applyAlignment="1">
      <alignment horizontal="center"/>
    </xf>
    <xf numFmtId="49" fontId="19" fillId="47" borderId="21" xfId="0" applyNumberFormat="1" applyFont="1" applyFill="1" applyBorder="1" applyAlignment="1">
      <alignment horizontal="center"/>
    </xf>
    <xf numFmtId="0" fontId="19" fillId="47" borderId="22" xfId="0" applyFont="1" applyFill="1" applyBorder="1" applyAlignment="1">
      <alignment horizontal="center"/>
    </xf>
    <xf numFmtId="165" fontId="19" fillId="47" borderId="22" xfId="0" applyNumberFormat="1" applyFont="1" applyFill="1" applyBorder="1" applyAlignment="1">
      <alignment horizontal="center"/>
    </xf>
    <xf numFmtId="167" fontId="19" fillId="47" borderId="22" xfId="0" applyNumberFormat="1" applyFont="1" applyFill="1" applyBorder="1" applyAlignment="1">
      <alignment horizontal="center"/>
    </xf>
    <xf numFmtId="172" fontId="19" fillId="47" borderId="22" xfId="0" applyNumberFormat="1" applyFont="1" applyFill="1" applyBorder="1" applyAlignment="1">
      <alignment horizontal="center"/>
    </xf>
    <xf numFmtId="169" fontId="19" fillId="47" borderId="22" xfId="0" applyNumberFormat="1" applyFont="1" applyFill="1" applyBorder="1" applyAlignment="1">
      <alignment horizontal="center"/>
    </xf>
    <xf numFmtId="3" fontId="19" fillId="47" borderId="22" xfId="0" applyNumberFormat="1" applyFont="1" applyFill="1" applyBorder="1" applyAlignment="1">
      <alignment horizontal="center"/>
    </xf>
    <xf numFmtId="3" fontId="19" fillId="47" borderId="24" xfId="0" applyNumberFormat="1" applyFont="1" applyFill="1" applyBorder="1" applyAlignment="1">
      <alignment horizontal="center"/>
    </xf>
    <xf numFmtId="49" fontId="19" fillId="66" borderId="25" xfId="0" applyNumberFormat="1" applyFont="1" applyFill="1" applyBorder="1" applyAlignment="1">
      <alignment horizontal="center"/>
    </xf>
    <xf numFmtId="0" fontId="19" fillId="66" borderId="0" xfId="0" applyFont="1" applyFill="1" applyAlignment="1">
      <alignment horizontal="center"/>
    </xf>
    <xf numFmtId="165" fontId="19" fillId="66" borderId="0" xfId="0" applyNumberFormat="1" applyFont="1" applyFill="1" applyAlignment="1">
      <alignment horizontal="center"/>
    </xf>
    <xf numFmtId="167" fontId="19" fillId="66" borderId="0" xfId="0" applyNumberFormat="1" applyFont="1" applyFill="1" applyAlignment="1">
      <alignment horizontal="center"/>
    </xf>
    <xf numFmtId="172" fontId="19" fillId="66" borderId="0" xfId="0" applyNumberFormat="1" applyFont="1" applyFill="1" applyAlignment="1">
      <alignment horizontal="center"/>
    </xf>
    <xf numFmtId="169" fontId="19" fillId="66" borderId="0" xfId="0" applyNumberFormat="1" applyFont="1" applyFill="1" applyAlignment="1">
      <alignment horizontal="center"/>
    </xf>
    <xf numFmtId="3" fontId="19" fillId="66" borderId="0" xfId="0" applyNumberFormat="1" applyFont="1" applyFill="1" applyAlignment="1">
      <alignment horizontal="center"/>
    </xf>
    <xf numFmtId="3" fontId="19" fillId="66" borderId="26" xfId="0" applyNumberFormat="1" applyFont="1" applyFill="1" applyBorder="1" applyAlignment="1">
      <alignment horizontal="center"/>
    </xf>
    <xf numFmtId="49" fontId="19" fillId="47" borderId="25" xfId="0" applyNumberFormat="1" applyFont="1" applyFill="1" applyBorder="1" applyAlignment="1">
      <alignment horizontal="center"/>
    </xf>
    <xf numFmtId="0" fontId="19" fillId="47" borderId="0" xfId="0" applyFont="1" applyFill="1" applyAlignment="1">
      <alignment horizontal="center"/>
    </xf>
    <xf numFmtId="165" fontId="19" fillId="47" borderId="0" xfId="0" applyNumberFormat="1" applyFont="1" applyFill="1" applyAlignment="1">
      <alignment horizontal="center"/>
    </xf>
    <xf numFmtId="167" fontId="19" fillId="47" borderId="0" xfId="0" applyNumberFormat="1" applyFont="1" applyFill="1" applyAlignment="1">
      <alignment horizontal="center"/>
    </xf>
    <xf numFmtId="172" fontId="19" fillId="47" borderId="0" xfId="0" applyNumberFormat="1" applyFont="1" applyFill="1" applyAlignment="1">
      <alignment horizontal="center"/>
    </xf>
    <xf numFmtId="169" fontId="19" fillId="47" borderId="0" xfId="0" applyNumberFormat="1" applyFont="1" applyFill="1" applyAlignment="1">
      <alignment horizontal="center"/>
    </xf>
    <xf numFmtId="3" fontId="19" fillId="47" borderId="0" xfId="0" applyNumberFormat="1" applyFont="1" applyFill="1" applyAlignment="1">
      <alignment horizontal="center"/>
    </xf>
    <xf numFmtId="3" fontId="19" fillId="47" borderId="26" xfId="0" applyNumberFormat="1" applyFont="1" applyFill="1" applyBorder="1" applyAlignment="1">
      <alignment horizontal="center"/>
    </xf>
    <xf numFmtId="49" fontId="19" fillId="67" borderId="25" xfId="0" applyNumberFormat="1" applyFont="1" applyFill="1" applyBorder="1" applyAlignment="1">
      <alignment horizontal="center"/>
    </xf>
    <xf numFmtId="1" fontId="19" fillId="67" borderId="0" xfId="0" applyNumberFormat="1" applyFont="1" applyFill="1" applyAlignment="1">
      <alignment horizontal="center"/>
    </xf>
    <xf numFmtId="0" fontId="19" fillId="67" borderId="0" xfId="0" applyFont="1" applyFill="1" applyAlignment="1">
      <alignment horizontal="center"/>
    </xf>
    <xf numFmtId="165" fontId="19" fillId="67" borderId="0" xfId="0" applyNumberFormat="1" applyFont="1" applyFill="1" applyAlignment="1">
      <alignment horizontal="center"/>
    </xf>
    <xf numFmtId="167" fontId="19" fillId="67" borderId="0" xfId="0" applyNumberFormat="1" applyFont="1" applyFill="1" applyAlignment="1">
      <alignment horizontal="center"/>
    </xf>
    <xf numFmtId="172" fontId="19" fillId="67" borderId="0" xfId="0" applyNumberFormat="1" applyFont="1" applyFill="1" applyAlignment="1">
      <alignment horizontal="center"/>
    </xf>
    <xf numFmtId="169" fontId="19" fillId="67" borderId="0" xfId="0" applyNumberFormat="1" applyFont="1" applyFill="1" applyAlignment="1">
      <alignment horizontal="center"/>
    </xf>
    <xf numFmtId="3" fontId="19" fillId="67" borderId="0" xfId="0" applyNumberFormat="1" applyFont="1" applyFill="1" applyAlignment="1">
      <alignment horizontal="center"/>
    </xf>
    <xf numFmtId="3" fontId="19" fillId="67" borderId="26" xfId="0" applyNumberFormat="1" applyFont="1" applyFill="1" applyBorder="1" applyAlignment="1">
      <alignment horizontal="center"/>
    </xf>
    <xf numFmtId="49" fontId="19" fillId="68" borderId="25" xfId="0" applyNumberFormat="1" applyFont="1" applyFill="1" applyBorder="1" applyAlignment="1">
      <alignment horizontal="center"/>
    </xf>
    <xf numFmtId="0" fontId="19" fillId="68" borderId="0" xfId="0" applyFont="1" applyFill="1" applyAlignment="1">
      <alignment horizontal="center"/>
    </xf>
    <xf numFmtId="165" fontId="19" fillId="68" borderId="0" xfId="0" applyNumberFormat="1" applyFont="1" applyFill="1" applyAlignment="1">
      <alignment horizontal="center"/>
    </xf>
    <xf numFmtId="167" fontId="19" fillId="68" borderId="0" xfId="0" applyNumberFormat="1" applyFont="1" applyFill="1" applyAlignment="1">
      <alignment horizontal="center"/>
    </xf>
    <xf numFmtId="172" fontId="19" fillId="68" borderId="0" xfId="0" applyNumberFormat="1" applyFont="1" applyFill="1" applyAlignment="1">
      <alignment horizontal="center"/>
    </xf>
    <xf numFmtId="169" fontId="19" fillId="68" borderId="0" xfId="0" applyNumberFormat="1" applyFont="1" applyFill="1" applyAlignment="1">
      <alignment horizontal="center"/>
    </xf>
    <xf numFmtId="3" fontId="19" fillId="68" borderId="0" xfId="0" applyNumberFormat="1" applyFont="1" applyFill="1" applyAlignment="1">
      <alignment horizontal="center"/>
    </xf>
    <xf numFmtId="3" fontId="19" fillId="68" borderId="26" xfId="0" applyNumberFormat="1" applyFont="1" applyFill="1" applyBorder="1" applyAlignment="1">
      <alignment horizontal="center"/>
    </xf>
    <xf numFmtId="49" fontId="19" fillId="69" borderId="25" xfId="0" applyNumberFormat="1" applyFont="1" applyFill="1" applyBorder="1" applyAlignment="1">
      <alignment horizontal="center"/>
    </xf>
    <xf numFmtId="0" fontId="19" fillId="69" borderId="0" xfId="0" applyFont="1" applyFill="1" applyAlignment="1">
      <alignment horizontal="center"/>
    </xf>
    <xf numFmtId="165" fontId="19" fillId="69" borderId="0" xfId="0" applyNumberFormat="1" applyFont="1" applyFill="1" applyAlignment="1">
      <alignment horizontal="center"/>
    </xf>
    <xf numFmtId="167" fontId="19" fillId="69" borderId="0" xfId="0" applyNumberFormat="1" applyFont="1" applyFill="1" applyAlignment="1">
      <alignment horizontal="center"/>
    </xf>
    <xf numFmtId="172" fontId="19" fillId="69" borderId="0" xfId="0" applyNumberFormat="1" applyFont="1" applyFill="1" applyAlignment="1">
      <alignment horizontal="center"/>
    </xf>
    <xf numFmtId="169" fontId="19" fillId="69" borderId="0" xfId="0" applyNumberFormat="1" applyFont="1" applyFill="1" applyAlignment="1">
      <alignment horizontal="center"/>
    </xf>
    <xf numFmtId="3" fontId="19" fillId="69" borderId="0" xfId="0" applyNumberFormat="1" applyFont="1" applyFill="1" applyAlignment="1">
      <alignment horizontal="center"/>
    </xf>
    <xf numFmtId="3" fontId="19" fillId="69" borderId="26" xfId="0" applyNumberFormat="1" applyFont="1" applyFill="1" applyBorder="1" applyAlignment="1">
      <alignment horizontal="center"/>
    </xf>
    <xf numFmtId="49" fontId="19" fillId="70" borderId="25" xfId="0" applyNumberFormat="1" applyFont="1" applyFill="1" applyBorder="1" applyAlignment="1">
      <alignment horizontal="center"/>
    </xf>
    <xf numFmtId="0" fontId="19" fillId="70" borderId="0" xfId="0" applyFont="1" applyFill="1" applyAlignment="1">
      <alignment horizontal="center"/>
    </xf>
    <xf numFmtId="165" fontId="19" fillId="70" borderId="0" xfId="0" applyNumberFormat="1" applyFont="1" applyFill="1" applyAlignment="1">
      <alignment horizontal="center"/>
    </xf>
    <xf numFmtId="167" fontId="19" fillId="70" borderId="0" xfId="0" applyNumberFormat="1" applyFont="1" applyFill="1" applyAlignment="1">
      <alignment horizontal="center"/>
    </xf>
    <xf numFmtId="172" fontId="19" fillId="70" borderId="0" xfId="0" applyNumberFormat="1" applyFont="1" applyFill="1" applyAlignment="1">
      <alignment horizontal="center"/>
    </xf>
    <xf numFmtId="169" fontId="19" fillId="70" borderId="0" xfId="0" applyNumberFormat="1" applyFont="1" applyFill="1" applyAlignment="1">
      <alignment horizontal="center"/>
    </xf>
    <xf numFmtId="3" fontId="19" fillId="70" borderId="0" xfId="0" applyNumberFormat="1" applyFont="1" applyFill="1" applyAlignment="1">
      <alignment horizontal="center"/>
    </xf>
    <xf numFmtId="3" fontId="19" fillId="70" borderId="26" xfId="0" applyNumberFormat="1" applyFont="1" applyFill="1" applyBorder="1" applyAlignment="1">
      <alignment horizontal="center"/>
    </xf>
    <xf numFmtId="49" fontId="19" fillId="37" borderId="21" xfId="0" applyNumberFormat="1" applyFont="1" applyFill="1" applyBorder="1" applyAlignment="1">
      <alignment horizontal="center"/>
    </xf>
    <xf numFmtId="164" fontId="19" fillId="37" borderId="22" xfId="0" applyNumberFormat="1" applyFont="1" applyFill="1" applyBorder="1" applyAlignment="1">
      <alignment horizontal="center"/>
    </xf>
    <xf numFmtId="167" fontId="19" fillId="37" borderId="22" xfId="0" applyNumberFormat="1" applyFont="1" applyFill="1" applyBorder="1" applyAlignment="1">
      <alignment horizontal="center"/>
    </xf>
    <xf numFmtId="164" fontId="19" fillId="37" borderId="24" xfId="0" applyNumberFormat="1" applyFont="1" applyFill="1" applyBorder="1" applyAlignment="1">
      <alignment horizontal="center"/>
    </xf>
    <xf numFmtId="49" fontId="19" fillId="37" borderId="25" xfId="0" applyNumberFormat="1" applyFont="1" applyFill="1" applyBorder="1" applyAlignment="1">
      <alignment horizontal="center"/>
    </xf>
    <xf numFmtId="164" fontId="19" fillId="37" borderId="26" xfId="0" applyNumberFormat="1" applyFont="1" applyFill="1" applyBorder="1" applyAlignment="1">
      <alignment horizontal="center"/>
    </xf>
    <xf numFmtId="49" fontId="19" fillId="33" borderId="25" xfId="0" applyNumberFormat="1" applyFont="1" applyFill="1" applyBorder="1" applyAlignment="1">
      <alignment horizontal="center"/>
    </xf>
    <xf numFmtId="172" fontId="19" fillId="33" borderId="0" xfId="0" applyNumberFormat="1" applyFont="1" applyFill="1" applyAlignment="1">
      <alignment horizontal="center"/>
    </xf>
    <xf numFmtId="169" fontId="19" fillId="33" borderId="0" xfId="0" applyNumberFormat="1" applyFont="1" applyFill="1" applyAlignment="1">
      <alignment horizontal="center"/>
    </xf>
    <xf numFmtId="3" fontId="19" fillId="33" borderId="0" xfId="0" applyNumberFormat="1" applyFont="1" applyFill="1" applyAlignment="1">
      <alignment horizontal="center"/>
    </xf>
    <xf numFmtId="3" fontId="19" fillId="33" borderId="26" xfId="0" applyNumberFormat="1" applyFont="1" applyFill="1" applyBorder="1" applyAlignment="1">
      <alignment horizontal="center"/>
    </xf>
    <xf numFmtId="49" fontId="19" fillId="70" borderId="27" xfId="0" applyNumberFormat="1" applyFont="1" applyFill="1" applyBorder="1" applyAlignment="1">
      <alignment horizontal="center"/>
    </xf>
    <xf numFmtId="0" fontId="19" fillId="70" borderId="19" xfId="0" applyFont="1" applyFill="1" applyBorder="1" applyAlignment="1">
      <alignment horizontal="center"/>
    </xf>
    <xf numFmtId="165" fontId="19" fillId="70" borderId="19" xfId="0" applyNumberFormat="1" applyFont="1" applyFill="1" applyBorder="1" applyAlignment="1">
      <alignment horizontal="center"/>
    </xf>
    <xf numFmtId="167" fontId="19" fillId="70" borderId="19" xfId="0" applyNumberFormat="1" applyFont="1" applyFill="1" applyBorder="1" applyAlignment="1">
      <alignment horizontal="center"/>
    </xf>
    <xf numFmtId="172" fontId="19" fillId="70" borderId="19" xfId="0" applyNumberFormat="1" applyFont="1" applyFill="1" applyBorder="1" applyAlignment="1">
      <alignment horizontal="center"/>
    </xf>
    <xf numFmtId="169" fontId="19" fillId="70" borderId="19" xfId="0" applyNumberFormat="1" applyFont="1" applyFill="1" applyBorder="1" applyAlignment="1">
      <alignment horizontal="center"/>
    </xf>
    <xf numFmtId="3" fontId="19" fillId="70" borderId="19" xfId="0" applyNumberFormat="1" applyFont="1" applyFill="1" applyBorder="1" applyAlignment="1">
      <alignment horizontal="center"/>
    </xf>
    <xf numFmtId="3" fontId="19" fillId="70" borderId="28" xfId="0" applyNumberFormat="1" applyFont="1" applyFill="1" applyBorder="1" applyAlignment="1">
      <alignment horizontal="center"/>
    </xf>
    <xf numFmtId="0" fontId="25" fillId="0" borderId="0" xfId="0" applyFont="1"/>
    <xf numFmtId="0" fontId="26" fillId="0" borderId="0" xfId="0" applyFont="1" applyAlignment="1">
      <alignment horizontal="center"/>
    </xf>
    <xf numFmtId="49" fontId="19" fillId="0" borderId="21" xfId="0" applyNumberFormat="1" applyFont="1" applyBorder="1" applyAlignment="1">
      <alignment horizontal="center"/>
    </xf>
    <xf numFmtId="172" fontId="25" fillId="0" borderId="22" xfId="42" applyNumberFormat="1" applyFont="1" applyFill="1" applyBorder="1" applyAlignment="1">
      <alignment horizontal="center"/>
    </xf>
    <xf numFmtId="172" fontId="19" fillId="0" borderId="22" xfId="0" applyNumberFormat="1" applyFont="1" applyBorder="1" applyAlignment="1">
      <alignment horizontal="center"/>
    </xf>
    <xf numFmtId="169" fontId="19" fillId="0" borderId="22" xfId="0" applyNumberFormat="1" applyFont="1" applyBorder="1" applyAlignment="1">
      <alignment horizontal="center"/>
    </xf>
    <xf numFmtId="3" fontId="19" fillId="0" borderId="22" xfId="0" applyNumberFormat="1" applyFont="1" applyBorder="1" applyAlignment="1">
      <alignment horizontal="center"/>
    </xf>
    <xf numFmtId="3" fontId="19" fillId="0" borderId="24" xfId="0" applyNumberFormat="1" applyFont="1" applyBorder="1" applyAlignment="1">
      <alignment horizontal="center"/>
    </xf>
    <xf numFmtId="49" fontId="19" fillId="0" borderId="25" xfId="0" applyNumberFormat="1" applyFont="1" applyBorder="1" applyAlignment="1">
      <alignment horizontal="center"/>
    </xf>
    <xf numFmtId="172" fontId="25" fillId="0" borderId="0" xfId="42" applyNumberFormat="1" applyFont="1" applyFill="1" applyBorder="1" applyAlignment="1">
      <alignment horizontal="center"/>
    </xf>
    <xf numFmtId="172" fontId="19" fillId="0" borderId="0" xfId="0" applyNumberFormat="1" applyFont="1" applyAlignment="1">
      <alignment horizontal="center"/>
    </xf>
    <xf numFmtId="169" fontId="19" fillId="0" borderId="0" xfId="0" applyNumberFormat="1" applyFont="1" applyAlignment="1">
      <alignment horizontal="center"/>
    </xf>
    <xf numFmtId="3" fontId="19" fillId="0" borderId="0" xfId="0" applyNumberFormat="1" applyFont="1" applyAlignment="1">
      <alignment horizontal="center"/>
    </xf>
    <xf numFmtId="3" fontId="19" fillId="0" borderId="26" xfId="0" applyNumberFormat="1" applyFont="1" applyBorder="1" applyAlignment="1">
      <alignment horizontal="center"/>
    </xf>
    <xf numFmtId="166" fontId="19" fillId="71" borderId="0" xfId="0" applyNumberFormat="1" applyFont="1" applyFill="1" applyAlignment="1">
      <alignment horizontal="center"/>
    </xf>
    <xf numFmtId="164" fontId="19" fillId="71" borderId="0" xfId="0" applyNumberFormat="1" applyFont="1" applyFill="1" applyAlignment="1">
      <alignment horizontal="center"/>
    </xf>
    <xf numFmtId="2" fontId="19" fillId="37" borderId="26" xfId="0" applyNumberFormat="1" applyFont="1" applyFill="1" applyBorder="1" applyAlignment="1">
      <alignment horizontal="center"/>
    </xf>
    <xf numFmtId="49" fontId="19" fillId="0" borderId="27" xfId="0" applyNumberFormat="1" applyFont="1" applyBorder="1" applyAlignment="1">
      <alignment horizontal="center"/>
    </xf>
    <xf numFmtId="172" fontId="25" fillId="0" borderId="19" xfId="42" applyNumberFormat="1" applyFont="1" applyFill="1" applyBorder="1" applyAlignment="1">
      <alignment horizontal="center"/>
    </xf>
    <xf numFmtId="172" fontId="19" fillId="0" borderId="19" xfId="0" applyNumberFormat="1" applyFont="1" applyBorder="1" applyAlignment="1">
      <alignment horizontal="center"/>
    </xf>
    <xf numFmtId="169" fontId="19" fillId="0" borderId="19" xfId="0" applyNumberFormat="1" applyFont="1" applyBorder="1" applyAlignment="1">
      <alignment horizontal="center"/>
    </xf>
    <xf numFmtId="3" fontId="19" fillId="0" borderId="19" xfId="0" applyNumberFormat="1" applyFont="1" applyBorder="1" applyAlignment="1">
      <alignment horizontal="center"/>
    </xf>
    <xf numFmtId="3" fontId="19" fillId="0" borderId="28" xfId="0" applyNumberFormat="1" applyFont="1" applyBorder="1" applyAlignment="1">
      <alignment horizontal="center"/>
    </xf>
    <xf numFmtId="0" fontId="25" fillId="0" borderId="22" xfId="42" applyFont="1" applyFill="1" applyBorder="1" applyAlignment="1">
      <alignment horizontal="center"/>
    </xf>
    <xf numFmtId="0" fontId="25" fillId="0" borderId="0" xfId="42" applyFont="1" applyFill="1" applyBorder="1" applyAlignment="1">
      <alignment horizontal="center"/>
    </xf>
    <xf numFmtId="0" fontId="25" fillId="0" borderId="19" xfId="42" applyFont="1" applyFill="1" applyBorder="1" applyAlignment="1">
      <alignment horizontal="center"/>
    </xf>
    <xf numFmtId="0" fontId="19" fillId="66" borderId="21" xfId="0" applyFont="1" applyFill="1" applyBorder="1" applyAlignment="1">
      <alignment horizontal="center"/>
    </xf>
    <xf numFmtId="0" fontId="19" fillId="66" borderId="22" xfId="0" applyFont="1" applyFill="1" applyBorder="1" applyAlignment="1">
      <alignment horizontal="center"/>
    </xf>
    <xf numFmtId="0" fontId="21" fillId="66" borderId="22" xfId="42" applyFont="1" applyFill="1" applyBorder="1" applyAlignment="1">
      <alignment horizontal="center"/>
    </xf>
    <xf numFmtId="3" fontId="19" fillId="66" borderId="22" xfId="0" applyNumberFormat="1" applyFont="1" applyFill="1" applyBorder="1" applyAlignment="1">
      <alignment horizontal="center"/>
    </xf>
    <xf numFmtId="172" fontId="19" fillId="66" borderId="22" xfId="0" applyNumberFormat="1" applyFont="1" applyFill="1" applyBorder="1" applyAlignment="1">
      <alignment horizontal="center"/>
    </xf>
    <xf numFmtId="169" fontId="19" fillId="66" borderId="22" xfId="0" applyNumberFormat="1" applyFont="1" applyFill="1" applyBorder="1" applyAlignment="1">
      <alignment horizontal="center"/>
    </xf>
    <xf numFmtId="1" fontId="19" fillId="66" borderId="24" xfId="0" applyNumberFormat="1" applyFont="1" applyFill="1" applyBorder="1" applyAlignment="1">
      <alignment horizontal="center"/>
    </xf>
    <xf numFmtId="0" fontId="21" fillId="0" borderId="0" xfId="42" applyFont="1" applyFill="1" applyBorder="1" applyAlignment="1">
      <alignment horizontal="center"/>
    </xf>
    <xf numFmtId="173" fontId="19" fillId="0" borderId="0" xfId="0" applyNumberFormat="1" applyFont="1" applyAlignment="1">
      <alignment horizontal="center"/>
    </xf>
    <xf numFmtId="0" fontId="19" fillId="68" borderId="25" xfId="0" applyFont="1" applyFill="1" applyBorder="1" applyAlignment="1">
      <alignment horizontal="center"/>
    </xf>
    <xf numFmtId="0" fontId="21" fillId="68" borderId="0" xfId="42" applyFont="1" applyFill="1" applyBorder="1" applyAlignment="1">
      <alignment horizontal="center"/>
    </xf>
    <xf numFmtId="1" fontId="19" fillId="68" borderId="26" xfId="0" applyNumberFormat="1" applyFont="1" applyFill="1" applyBorder="1" applyAlignment="1">
      <alignment horizontal="center"/>
    </xf>
    <xf numFmtId="167" fontId="19" fillId="37" borderId="19" xfId="0" applyNumberFormat="1" applyFont="1" applyFill="1" applyBorder="1" applyAlignment="1">
      <alignment horizontal="center"/>
    </xf>
    <xf numFmtId="164" fontId="19" fillId="37" borderId="19" xfId="0" applyNumberFormat="1" applyFont="1" applyFill="1" applyBorder="1" applyAlignment="1">
      <alignment horizontal="center"/>
    </xf>
    <xf numFmtId="2" fontId="19" fillId="37" borderId="19" xfId="0" applyNumberFormat="1" applyFont="1" applyFill="1" applyBorder="1" applyAlignment="1">
      <alignment horizontal="center"/>
    </xf>
    <xf numFmtId="2" fontId="19" fillId="37" borderId="28" xfId="0" applyNumberFormat="1" applyFont="1" applyFill="1" applyBorder="1" applyAlignment="1">
      <alignment horizontal="center"/>
    </xf>
    <xf numFmtId="0" fontId="19" fillId="47" borderId="25" xfId="0" applyFont="1" applyFill="1" applyBorder="1" applyAlignment="1">
      <alignment horizontal="center"/>
    </xf>
    <xf numFmtId="0" fontId="21" fillId="47" borderId="0" xfId="42" applyFont="1" applyFill="1" applyBorder="1" applyAlignment="1">
      <alignment horizontal="center"/>
    </xf>
    <xf numFmtId="1" fontId="19" fillId="47" borderId="26" xfId="0" applyNumberFormat="1" applyFont="1" applyFill="1" applyBorder="1" applyAlignment="1">
      <alignment horizontal="center"/>
    </xf>
    <xf numFmtId="0" fontId="19" fillId="70" borderId="25" xfId="0" applyFont="1" applyFill="1" applyBorder="1" applyAlignment="1">
      <alignment horizontal="center"/>
    </xf>
    <xf numFmtId="0" fontId="21" fillId="70" borderId="0" xfId="42" applyFont="1" applyFill="1" applyBorder="1" applyAlignment="1">
      <alignment horizontal="center"/>
    </xf>
    <xf numFmtId="1" fontId="19" fillId="70" borderId="26" xfId="0" applyNumberFormat="1" applyFont="1" applyFill="1" applyBorder="1" applyAlignment="1">
      <alignment horizontal="center"/>
    </xf>
    <xf numFmtId="0" fontId="21" fillId="33" borderId="0" xfId="42" applyFont="1" applyFill="1" applyBorder="1" applyAlignment="1">
      <alignment horizontal="center"/>
    </xf>
    <xf numFmtId="1" fontId="19" fillId="33" borderId="26" xfId="0" applyNumberFormat="1" applyFont="1" applyFill="1" applyBorder="1" applyAlignment="1">
      <alignment horizontal="center"/>
    </xf>
    <xf numFmtId="0" fontId="19" fillId="67" borderId="27" xfId="0" applyFont="1" applyFill="1" applyBorder="1" applyAlignment="1">
      <alignment horizontal="center"/>
    </xf>
    <xf numFmtId="0" fontId="19" fillId="67" borderId="19" xfId="0" applyFont="1" applyFill="1" applyBorder="1" applyAlignment="1">
      <alignment horizontal="center"/>
    </xf>
    <xf numFmtId="0" fontId="21" fillId="67" borderId="19" xfId="42" applyFont="1" applyFill="1" applyBorder="1" applyAlignment="1">
      <alignment horizontal="center"/>
    </xf>
    <xf numFmtId="3" fontId="19" fillId="67" borderId="19" xfId="0" applyNumberFormat="1" applyFont="1" applyFill="1" applyBorder="1" applyAlignment="1">
      <alignment horizontal="center"/>
    </xf>
    <xf numFmtId="172" fontId="19" fillId="67" borderId="19" xfId="0" applyNumberFormat="1" applyFont="1" applyFill="1" applyBorder="1" applyAlignment="1">
      <alignment horizontal="center"/>
    </xf>
    <xf numFmtId="169" fontId="19" fillId="67" borderId="19" xfId="0" applyNumberFormat="1" applyFont="1" applyFill="1" applyBorder="1" applyAlignment="1">
      <alignment horizontal="center"/>
    </xf>
    <xf numFmtId="1" fontId="19" fillId="67" borderId="28" xfId="0" applyNumberFormat="1" applyFont="1" applyFill="1" applyBorder="1" applyAlignment="1">
      <alignment horizontal="center"/>
    </xf>
    <xf numFmtId="1" fontId="19" fillId="66" borderId="22" xfId="0" applyNumberFormat="1" applyFont="1" applyFill="1" applyBorder="1" applyAlignment="1">
      <alignment horizontal="center"/>
    </xf>
    <xf numFmtId="173" fontId="19" fillId="66" borderId="24" xfId="0" applyNumberFormat="1" applyFont="1" applyFill="1" applyBorder="1" applyAlignment="1">
      <alignment horizontal="center"/>
    </xf>
    <xf numFmtId="1" fontId="19" fillId="70" borderId="0" xfId="0" applyNumberFormat="1" applyFont="1" applyFill="1" applyAlignment="1">
      <alignment horizontal="center"/>
    </xf>
    <xf numFmtId="173" fontId="19" fillId="70" borderId="26" xfId="0" applyNumberFormat="1" applyFont="1" applyFill="1" applyBorder="1" applyAlignment="1">
      <alignment horizontal="center"/>
    </xf>
    <xf numFmtId="1" fontId="19" fillId="68" borderId="0" xfId="0" applyNumberFormat="1" applyFont="1" applyFill="1" applyAlignment="1">
      <alignment horizontal="center"/>
    </xf>
    <xf numFmtId="173" fontId="19" fillId="68" borderId="26" xfId="0" applyNumberFormat="1" applyFont="1" applyFill="1" applyBorder="1" applyAlignment="1">
      <alignment horizontal="center"/>
    </xf>
    <xf numFmtId="1" fontId="19" fillId="47" borderId="0" xfId="0" applyNumberFormat="1" applyFont="1" applyFill="1" applyAlignment="1">
      <alignment horizontal="center"/>
    </xf>
    <xf numFmtId="173" fontId="19" fillId="47" borderId="26" xfId="0" applyNumberFormat="1" applyFont="1" applyFill="1" applyBorder="1" applyAlignment="1">
      <alignment horizontal="center"/>
    </xf>
    <xf numFmtId="173" fontId="19" fillId="33" borderId="26" xfId="0" applyNumberFormat="1" applyFont="1" applyFill="1" applyBorder="1" applyAlignment="1">
      <alignment horizontal="center"/>
    </xf>
    <xf numFmtId="1" fontId="19" fillId="67" borderId="19" xfId="0" applyNumberFormat="1" applyFont="1" applyFill="1" applyBorder="1" applyAlignment="1">
      <alignment horizontal="center"/>
    </xf>
    <xf numFmtId="173" fontId="19" fillId="67" borderId="28" xfId="0" applyNumberFormat="1" applyFont="1" applyFill="1" applyBorder="1" applyAlignment="1">
      <alignment horizontal="center"/>
    </xf>
    <xf numFmtId="14" fontId="0" fillId="0" borderId="0" xfId="0" applyNumberFormat="1"/>
    <xf numFmtId="0" fontId="19" fillId="72" borderId="10" xfId="0" applyFont="1" applyFill="1" applyBorder="1" applyAlignment="1">
      <alignment horizontal="center"/>
    </xf>
    <xf numFmtId="0" fontId="19" fillId="38" borderId="0" xfId="0" applyFont="1" applyFill="1" applyAlignment="1">
      <alignment horizontal="center"/>
    </xf>
    <xf numFmtId="0" fontId="19" fillId="55" borderId="0" xfId="0" applyFont="1" applyFill="1" applyAlignment="1">
      <alignment horizontal="center"/>
    </xf>
    <xf numFmtId="2" fontId="19" fillId="0" borderId="21" xfId="0" applyNumberFormat="1" applyFont="1" applyBorder="1"/>
    <xf numFmtId="2" fontId="19" fillId="56" borderId="22" xfId="0" applyNumberFormat="1" applyFont="1" applyFill="1" applyBorder="1"/>
    <xf numFmtId="2" fontId="19" fillId="0" borderId="22" xfId="0" applyNumberFormat="1" applyFont="1" applyBorder="1"/>
    <xf numFmtId="2" fontId="19" fillId="36" borderId="22" xfId="0" applyNumberFormat="1" applyFont="1" applyFill="1" applyBorder="1"/>
    <xf numFmtId="2" fontId="19" fillId="57" borderId="24" xfId="0" applyNumberFormat="1" applyFont="1" applyFill="1" applyBorder="1"/>
    <xf numFmtId="2" fontId="19" fillId="0" borderId="25" xfId="0" applyNumberFormat="1" applyFont="1" applyBorder="1"/>
    <xf numFmtId="2" fontId="19" fillId="56" borderId="0" xfId="0" applyNumberFormat="1" applyFont="1" applyFill="1"/>
    <xf numFmtId="2" fontId="19" fillId="36" borderId="0" xfId="0" applyNumberFormat="1" applyFont="1" applyFill="1"/>
    <xf numFmtId="2" fontId="19" fillId="57" borderId="26" xfId="0" applyNumberFormat="1" applyFont="1" applyFill="1" applyBorder="1"/>
    <xf numFmtId="2" fontId="19" fillId="0" borderId="27" xfId="0" applyNumberFormat="1" applyFont="1" applyBorder="1"/>
    <xf numFmtId="2" fontId="19" fillId="56" borderId="19" xfId="0" applyNumberFormat="1" applyFont="1" applyFill="1" applyBorder="1"/>
    <xf numFmtId="2" fontId="19" fillId="0" borderId="19" xfId="0" applyNumberFormat="1" applyFont="1" applyBorder="1"/>
    <xf numFmtId="2" fontId="19" fillId="36" borderId="19" xfId="0" applyNumberFormat="1" applyFont="1" applyFill="1" applyBorder="1"/>
    <xf numFmtId="2" fontId="19" fillId="57" borderId="28" xfId="0" applyNumberFormat="1" applyFont="1" applyFill="1" applyBorder="1"/>
    <xf numFmtId="0" fontId="19" fillId="73" borderId="37" xfId="0" applyFont="1" applyFill="1" applyBorder="1" applyAlignment="1">
      <alignment horizontal="center"/>
    </xf>
    <xf numFmtId="0" fontId="19" fillId="73" borderId="0" xfId="0" applyFont="1" applyFill="1"/>
    <xf numFmtId="164" fontId="19" fillId="74" borderId="25" xfId="0" applyNumberFormat="1" applyFont="1" applyFill="1" applyBorder="1"/>
    <xf numFmtId="164" fontId="19" fillId="73" borderId="28" xfId="0" applyNumberFormat="1" applyFont="1" applyFill="1" applyBorder="1"/>
    <xf numFmtId="0" fontId="19" fillId="74" borderId="37" xfId="0" applyFont="1" applyFill="1" applyBorder="1" applyAlignment="1">
      <alignment horizontal="center"/>
    </xf>
    <xf numFmtId="14" fontId="19" fillId="0" borderId="0" xfId="0" applyNumberFormat="1" applyFont="1"/>
    <xf numFmtId="2" fontId="19" fillId="0" borderId="10" xfId="0" applyNumberFormat="1" applyFont="1" applyBorder="1"/>
    <xf numFmtId="165" fontId="19" fillId="42" borderId="19" xfId="0" applyNumberFormat="1"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i val="0"/>
        <condense val="0"/>
        <extend val="0"/>
        <color rgb="FF9C0006"/>
      </font>
      <fill>
        <patternFill>
          <bgColor rgb="FFFFC7CE"/>
        </patternFill>
      </fill>
    </dxf>
  </dxfs>
  <tableStyles count="0" defaultTableStyle="TableStyleMedium2" defaultPivotStyle="PivotStyleLight16"/>
  <colors>
    <mruColors>
      <color rgb="FF73FBB4"/>
      <color rgb="FFF3C5F3"/>
      <color rgb="FFFFB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owerwerx.com/red-black-bonded-zip-cord" TargetMode="External"/><Relationship Id="rId3" Type="http://schemas.openxmlformats.org/officeDocument/2006/relationships/hyperlink" Target="https://www.ebay.com/itm/282166106920" TargetMode="External"/><Relationship Id="rId7" Type="http://schemas.openxmlformats.org/officeDocument/2006/relationships/hyperlink" Target="https://www.ebay.com/itm/385037392892" TargetMode="External"/><Relationship Id="rId2" Type="http://schemas.openxmlformats.org/officeDocument/2006/relationships/hyperlink" Target="https://www.amazon.com/dp/B016N6YREY" TargetMode="External"/><Relationship Id="rId1" Type="http://schemas.openxmlformats.org/officeDocument/2006/relationships/hyperlink" Target="https://www.amazon.com/gp/product/B00LIB8BG0?th=1" TargetMode="External"/><Relationship Id="rId6" Type="http://schemas.openxmlformats.org/officeDocument/2006/relationships/hyperlink" Target="https://www.ebay.com/itm/385037392892" TargetMode="External"/><Relationship Id="rId5" Type="http://schemas.openxmlformats.org/officeDocument/2006/relationships/hyperlink" Target="https://www.ebay.com/itm/282166118341" TargetMode="External"/><Relationship Id="rId10" Type="http://schemas.openxmlformats.org/officeDocument/2006/relationships/hyperlink" Target="https://www.ebay.com/itm/251445397055" TargetMode="External"/><Relationship Id="rId4" Type="http://schemas.openxmlformats.org/officeDocument/2006/relationships/hyperlink" Target="https://www.ebay.com/itm/282166106920" TargetMode="External"/><Relationship Id="rId9" Type="http://schemas.openxmlformats.org/officeDocument/2006/relationships/hyperlink" Target="https://www.amazon.com/dp/B0015XNBJ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wolframalpha.com/input?i=solve+w%3Dpower%28v%2F%28A%2BB%29%2C2%29*A+for+A"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ebay.com/itm/282166118341" TargetMode="External"/><Relationship Id="rId13" Type="http://schemas.openxmlformats.org/officeDocument/2006/relationships/hyperlink" Target="https://www.amazon.com/dp/B00J357DGW" TargetMode="External"/><Relationship Id="rId3" Type="http://schemas.openxmlformats.org/officeDocument/2006/relationships/hyperlink" Target="https://www.ebay.com/itm/193225917423" TargetMode="External"/><Relationship Id="rId7" Type="http://schemas.openxmlformats.org/officeDocument/2006/relationships/hyperlink" Target="https://www.amazon.com/dp/B016N6YREY" TargetMode="External"/><Relationship Id="rId12" Type="http://schemas.openxmlformats.org/officeDocument/2006/relationships/hyperlink" Target="https://www.amazon.com/gp/product/B00LIB8BG0?th=1" TargetMode="External"/><Relationship Id="rId17" Type="http://schemas.openxmlformats.org/officeDocument/2006/relationships/hyperlink" Target="https://powerwerx.com/red-black-bonded-zip-cord" TargetMode="External"/><Relationship Id="rId2" Type="http://schemas.openxmlformats.org/officeDocument/2006/relationships/hyperlink" Target="https://www.amazon.com/gp/product/B06XF4WYJ6?th=1" TargetMode="External"/><Relationship Id="rId16" Type="http://schemas.openxmlformats.org/officeDocument/2006/relationships/hyperlink" Target="https://www.amazon.com/dp/B0015XNBJS?th=1" TargetMode="External"/><Relationship Id="rId1" Type="http://schemas.openxmlformats.org/officeDocument/2006/relationships/hyperlink" Target="https://www.amazon.com/dp/B0070RW30G?th=1" TargetMode="External"/><Relationship Id="rId6" Type="http://schemas.openxmlformats.org/officeDocument/2006/relationships/hyperlink" Target="https://www.amazon.com/gp/product/B00LIB8BG0?th=1" TargetMode="External"/><Relationship Id="rId11" Type="http://schemas.openxmlformats.org/officeDocument/2006/relationships/hyperlink" Target="https://powerwerx.com/red-black-bonded-zip-cord" TargetMode="External"/><Relationship Id="rId5" Type="http://schemas.openxmlformats.org/officeDocument/2006/relationships/hyperlink" Target="https://www.amazon.com/gp/product/B07PP64LQ8?th=1" TargetMode="External"/><Relationship Id="rId15" Type="http://schemas.openxmlformats.org/officeDocument/2006/relationships/hyperlink" Target="https://www.ebay.com/itm/282166118341" TargetMode="External"/><Relationship Id="rId10" Type="http://schemas.openxmlformats.org/officeDocument/2006/relationships/hyperlink" Target="https://www.amazon.com/dp/B0015XNBJS?th=1" TargetMode="External"/><Relationship Id="rId4" Type="http://schemas.openxmlformats.org/officeDocument/2006/relationships/hyperlink" Target="https://www.menards.com/main/electrical/electrical-cords-surge-protectors/extension-cords/wrap-and-carry-hand-held-extension-cord-tender/500wr/p-1444423430986-c-6410.htm?tid=9186562849574361101&amp;ipos=6" TargetMode="External"/><Relationship Id="rId9" Type="http://schemas.openxmlformats.org/officeDocument/2006/relationships/hyperlink" Target="https://www.amazon.com/dp/B00J357DGW" TargetMode="External"/><Relationship Id="rId14" Type="http://schemas.openxmlformats.org/officeDocument/2006/relationships/hyperlink" Target="https://www.amazon.com/dp/B016N6YREY"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bay.com/itm/282166118341" TargetMode="External"/><Relationship Id="rId2" Type="http://schemas.openxmlformats.org/officeDocument/2006/relationships/hyperlink" Target="https://www.amazon.com/dp/B016N6YREY" TargetMode="External"/><Relationship Id="rId1" Type="http://schemas.openxmlformats.org/officeDocument/2006/relationships/hyperlink" Target="https://www.amazon.com/dp/B00LIB8BG0" TargetMode="External"/><Relationship Id="rId4" Type="http://schemas.openxmlformats.org/officeDocument/2006/relationships/hyperlink" Target="https://www.amazon.com/dp/B00J357DG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55"/>
  <sheetViews>
    <sheetView tabSelected="1" topLeftCell="A11" workbookViewId="0">
      <selection activeCell="K48" sqref="K48"/>
    </sheetView>
  </sheetViews>
  <sheetFormatPr baseColWidth="10" defaultColWidth="13.83203125" defaultRowHeight="21" customHeight="1" x14ac:dyDescent="0.25"/>
  <cols>
    <col min="1" max="1" width="3.83203125" style="1" customWidth="1"/>
    <col min="2" max="7" width="15.83203125" style="1" customWidth="1"/>
    <col min="8" max="8" width="15.83203125" style="2" customWidth="1"/>
    <col min="9" max="9" width="15.83203125" style="3" customWidth="1"/>
    <col min="10" max="11" width="15.83203125" style="4" customWidth="1"/>
    <col min="12" max="12" width="15.83203125" style="5" customWidth="1"/>
    <col min="13" max="13" width="15.83203125" style="6" customWidth="1"/>
    <col min="14" max="14" width="15.83203125" style="5" customWidth="1"/>
    <col min="15" max="15" width="15.83203125" style="6" customWidth="1"/>
    <col min="16" max="22" width="15.83203125" style="1" customWidth="1"/>
    <col min="23" max="23" width="3.6640625" style="1" customWidth="1"/>
    <col min="24" max="16384" width="13.83203125" style="1"/>
  </cols>
  <sheetData>
    <row r="1" spans="2:20" ht="22" customHeight="1" thickBot="1" x14ac:dyDescent="0.3">
      <c r="B1" s="7"/>
      <c r="E1" s="7"/>
      <c r="F1" s="7"/>
      <c r="G1" s="7"/>
      <c r="H1" s="7"/>
      <c r="I1" s="7"/>
      <c r="O1" s="1"/>
    </row>
    <row r="2" spans="2:20" ht="22" customHeight="1" thickBot="1" x14ac:dyDescent="0.3">
      <c r="B2" s="8" t="s">
        <v>0</v>
      </c>
      <c r="C2" s="9" t="s">
        <v>1</v>
      </c>
      <c r="E2" s="10" t="str">
        <f>CONCATENATE("controller must be rated: ",TEXT(load_watts,"#,###")," watts - ",TEXT(B7,"#")," volts - ",TEXT(load_amps,"#")," panel amps - ",TEXT(B11,"#")," battery/load amps")</f>
        <v>controller must be rated: 1,219 watts - 89 volts - 21 panel amps - 88 battery/load amps</v>
      </c>
      <c r="F2" s="11"/>
      <c r="G2" s="11"/>
      <c r="H2" s="11"/>
      <c r="I2" s="11"/>
      <c r="J2" s="12"/>
    </row>
    <row r="3" spans="2:20" ht="21" customHeight="1" x14ac:dyDescent="0.25">
      <c r="B3" s="7">
        <f>panel_Vmpp*picked_series</f>
        <v>58.6</v>
      </c>
      <c r="C3" s="1" t="s">
        <v>2</v>
      </c>
      <c r="E3" s="1" t="s">
        <v>3</v>
      </c>
      <c r="M3" s="13" t="s">
        <v>4</v>
      </c>
      <c r="N3" s="14" t="str">
        <f>CONCATENATE(panel_selection,"-",C2)</f>
        <v>16 panels-para/ser</v>
      </c>
      <c r="O3" s="15"/>
    </row>
    <row r="4" spans="2:20" ht="21" customHeight="1" x14ac:dyDescent="0.25">
      <c r="B4" s="7">
        <f>panel_Impp*picked_parallel</f>
        <v>20.8</v>
      </c>
      <c r="C4" s="1" t="s">
        <v>5</v>
      </c>
      <c r="E4" s="1" t="s">
        <v>6</v>
      </c>
      <c r="M4" s="16" t="s">
        <v>7</v>
      </c>
      <c r="N4" s="17">
        <f>VLOOKUP(picked_key,panel_table,2,FALSE)</f>
        <v>16</v>
      </c>
      <c r="O4" s="18"/>
    </row>
    <row r="5" spans="2:20" ht="21" customHeight="1" x14ac:dyDescent="0.25">
      <c r="B5" s="19">
        <f>supply_volts/load_amps</f>
        <v>2.8173076923076921</v>
      </c>
      <c r="C5" s="1" t="s">
        <v>8</v>
      </c>
      <c r="E5" s="1" t="s">
        <v>9</v>
      </c>
      <c r="M5" s="20" t="s">
        <v>10</v>
      </c>
      <c r="N5" s="17">
        <f>VLOOKUP(picked_key,panel_table,3,FALSE)</f>
        <v>4</v>
      </c>
      <c r="O5" s="18"/>
    </row>
    <row r="6" spans="2:20" ht="21" customHeight="1" x14ac:dyDescent="0.25">
      <c r="B6" s="21">
        <f>supply_volts*load_amps</f>
        <v>1218.8800000000001</v>
      </c>
      <c r="C6" s="1" t="s">
        <v>11</v>
      </c>
      <c r="E6" s="1" t="s">
        <v>12</v>
      </c>
      <c r="M6" s="22" t="s">
        <v>13</v>
      </c>
      <c r="N6" s="23">
        <f>VLOOKUP(picked_key,panel_table,4,FALSE)</f>
        <v>4</v>
      </c>
      <c r="O6" s="24"/>
    </row>
    <row r="7" spans="2:20" ht="21" customHeight="1" x14ac:dyDescent="0.25">
      <c r="B7" s="7">
        <f>panel_Voc*picked_series</f>
        <v>89.2</v>
      </c>
      <c r="C7" s="1" t="s">
        <v>14</v>
      </c>
      <c r="E7" s="1" t="s">
        <v>15</v>
      </c>
      <c r="M7" s="25"/>
      <c r="N7" s="26"/>
    </row>
    <row r="8" spans="2:20" ht="21" customHeight="1" x14ac:dyDescent="0.25">
      <c r="M8" s="25"/>
      <c r="N8" s="26"/>
    </row>
    <row r="9" spans="2:20" ht="21" customHeight="1" x14ac:dyDescent="0.25">
      <c r="B9" s="27">
        <v>50</v>
      </c>
      <c r="C9" s="1" t="s">
        <v>16</v>
      </c>
      <c r="E9" s="1" t="s">
        <v>17</v>
      </c>
      <c r="M9" s="25"/>
      <c r="N9" s="26"/>
    </row>
    <row r="10" spans="2:20" ht="21" customHeight="1" x14ac:dyDescent="0.25">
      <c r="B10" s="7">
        <f>wire_feet*2</f>
        <v>100</v>
      </c>
      <c r="C10" s="1" t="s">
        <v>18</v>
      </c>
      <c r="M10" s="25"/>
      <c r="N10" s="26"/>
      <c r="Q10" s="7"/>
      <c r="R10" s="7"/>
      <c r="S10" s="7"/>
      <c r="T10" s="21"/>
    </row>
    <row r="11" spans="2:20" ht="21" customHeight="1" x14ac:dyDescent="0.25">
      <c r="B11" s="21">
        <f>load_watts/13.8</f>
        <v>88.32463768115943</v>
      </c>
      <c r="C11" s="1" t="s">
        <v>19</v>
      </c>
      <c r="N11" s="28"/>
      <c r="Q11" s="7"/>
      <c r="R11" s="7"/>
      <c r="S11" s="7"/>
      <c r="T11" s="21"/>
    </row>
    <row r="13" spans="2:20" ht="21" customHeight="1" x14ac:dyDescent="0.25">
      <c r="B13" s="7" t="s">
        <v>20</v>
      </c>
      <c r="C13" s="7" t="s">
        <v>20</v>
      </c>
      <c r="D13" s="7" t="s">
        <v>20</v>
      </c>
      <c r="E13" s="29" t="s">
        <v>20</v>
      </c>
      <c r="F13" s="29" t="s">
        <v>20</v>
      </c>
      <c r="G13" s="7" t="s">
        <v>21</v>
      </c>
      <c r="H13" s="7" t="s">
        <v>20</v>
      </c>
      <c r="I13" s="30" t="s">
        <v>22</v>
      </c>
      <c r="J13" s="31" t="s">
        <v>23</v>
      </c>
      <c r="K13" s="32" t="s">
        <v>24</v>
      </c>
      <c r="L13" s="19" t="s">
        <v>24</v>
      </c>
      <c r="M13" s="19" t="s">
        <v>25</v>
      </c>
      <c r="N13" s="19" t="s">
        <v>26</v>
      </c>
      <c r="O13" s="21" t="s">
        <v>23</v>
      </c>
      <c r="P13" s="33" t="s">
        <v>27</v>
      </c>
      <c r="Q13" s="7"/>
    </row>
    <row r="14" spans="2:20" ht="21" customHeight="1" x14ac:dyDescent="0.25">
      <c r="B14" s="7" t="s">
        <v>28</v>
      </c>
      <c r="C14" s="7" t="s">
        <v>29</v>
      </c>
      <c r="D14" s="7" t="s">
        <v>30</v>
      </c>
      <c r="E14" s="29" t="s">
        <v>31</v>
      </c>
      <c r="F14" s="7" t="s">
        <v>32</v>
      </c>
      <c r="G14" s="7" t="s">
        <v>33</v>
      </c>
      <c r="H14" s="7" t="s">
        <v>34</v>
      </c>
      <c r="I14" s="30" t="s">
        <v>35</v>
      </c>
      <c r="J14" s="31" t="s">
        <v>35</v>
      </c>
      <c r="K14" s="32" t="s">
        <v>35</v>
      </c>
      <c r="L14" s="19" t="s">
        <v>36</v>
      </c>
      <c r="M14" s="19" t="s">
        <v>37</v>
      </c>
      <c r="N14" s="19" t="s">
        <v>37</v>
      </c>
      <c r="O14" s="21" t="s">
        <v>38</v>
      </c>
      <c r="P14" s="33" t="s">
        <v>39</v>
      </c>
      <c r="Q14" s="7"/>
    </row>
    <row r="15" spans="2:20" ht="6" customHeight="1" thickBot="1" x14ac:dyDescent="0.3">
      <c r="B15" s="7"/>
      <c r="C15" s="7"/>
      <c r="D15" s="7"/>
      <c r="E15" s="29"/>
      <c r="F15" s="7"/>
      <c r="G15" s="7"/>
      <c r="H15" s="34"/>
      <c r="I15" s="30"/>
      <c r="J15" s="35"/>
      <c r="K15" s="32"/>
      <c r="L15" s="19"/>
      <c r="M15" s="19"/>
      <c r="N15" s="19"/>
      <c r="O15" s="21"/>
      <c r="P15" s="33"/>
      <c r="Q15" s="7"/>
    </row>
    <row r="16" spans="2:20" ht="21" customHeight="1" x14ac:dyDescent="0.25">
      <c r="B16" s="36">
        <v>6</v>
      </c>
      <c r="C16" s="37" t="s">
        <v>40</v>
      </c>
      <c r="D16" s="38">
        <v>1.296</v>
      </c>
      <c r="E16" s="39">
        <f t="shared" ref="E16:E29" si="0">IF(D16="","",D16/ft_per_km)</f>
        <v>3.9500152392563245E-4</v>
      </c>
      <c r="F16" s="40">
        <f t="shared" ref="F16:F29" si="1">E16*1000</f>
        <v>0.39500152392563243</v>
      </c>
      <c r="G16" s="37" t="s">
        <v>41</v>
      </c>
      <c r="H16" s="19">
        <f t="shared" ref="H16:H29" si="2">VLOOKUP(B16,copper_wire_table,5,FALSE)*twin_feet/1000</f>
        <v>8.0065181435816957</v>
      </c>
      <c r="I16" s="41">
        <f t="shared" ref="I16:I29" si="3">IF(OR(E16="",twin_feet=""),"",E16*twin_feet)</f>
        <v>3.9500152392563243E-2</v>
      </c>
      <c r="J16" s="42">
        <f t="shared" ref="J16:J29" si="4">load_ohms-I16</f>
        <v>2.7778075399151287</v>
      </c>
      <c r="K16" s="38">
        <f t="shared" ref="K16:K29" si="5">IF(OR(I16="",J16=""),"",I16+J16)</f>
        <v>2.8173076923076921</v>
      </c>
      <c r="L16" s="43">
        <f t="shared" ref="L16:L29" si="6">IF(K16="","",supply_volts/K16)</f>
        <v>20.8</v>
      </c>
      <c r="M16" s="43">
        <f t="shared" ref="M16:M29" si="7">IF(K16="","",supply_volts*I16/K16)</f>
        <v>0.82160316976531556</v>
      </c>
      <c r="N16" s="43">
        <f t="shared" ref="N16:N29" si="8">IF(K16="","",supply_volts*J16/K16)</f>
        <v>57.778396830234691</v>
      </c>
      <c r="O16" s="44">
        <f t="shared" ref="O16:O29" si="9">IF(OR(L16="",N16=""),"",L16*N16)</f>
        <v>1201.7906540688816</v>
      </c>
      <c r="P16" s="45">
        <f t="shared" ref="P16:P29" si="10">IF(O16="","",O16/load_watts)</f>
        <v>0.98597946809274217</v>
      </c>
      <c r="Q16" s="7"/>
    </row>
    <row r="17" spans="2:22" ht="21" customHeight="1" x14ac:dyDescent="0.25">
      <c r="B17" s="46">
        <v>7</v>
      </c>
      <c r="C17" s="7" t="s">
        <v>40</v>
      </c>
      <c r="D17" s="47">
        <v>1.634096</v>
      </c>
      <c r="E17" s="29">
        <f t="shared" si="0"/>
        <v>4.9804815604998474E-4</v>
      </c>
      <c r="F17" s="30">
        <f t="shared" si="1"/>
        <v>0.49804815604998476</v>
      </c>
      <c r="G17" s="7" t="s">
        <v>41</v>
      </c>
      <c r="H17" s="19">
        <f t="shared" si="2"/>
        <v>6.352524157123475</v>
      </c>
      <c r="I17" s="48">
        <f t="shared" si="3"/>
        <v>4.9804815604998477E-2</v>
      </c>
      <c r="J17" s="31">
        <f t="shared" si="4"/>
        <v>2.7675028767026935</v>
      </c>
      <c r="K17" s="32">
        <f t="shared" si="5"/>
        <v>2.8173076923076921</v>
      </c>
      <c r="L17" s="19">
        <f t="shared" si="6"/>
        <v>20.8</v>
      </c>
      <c r="M17" s="19">
        <f t="shared" si="7"/>
        <v>1.0359401645839683</v>
      </c>
      <c r="N17" s="19">
        <f t="shared" si="8"/>
        <v>57.564059835416025</v>
      </c>
      <c r="O17" s="49">
        <f t="shared" si="9"/>
        <v>1197.3324445766534</v>
      </c>
      <c r="P17" s="50">
        <f t="shared" si="10"/>
        <v>0.98232184019481272</v>
      </c>
      <c r="Q17" s="51" t="s">
        <v>42</v>
      </c>
      <c r="R17" s="1" t="s">
        <v>43</v>
      </c>
    </row>
    <row r="18" spans="2:22" ht="21" customHeight="1" x14ac:dyDescent="0.25">
      <c r="B18" s="46">
        <v>8</v>
      </c>
      <c r="C18" s="7" t="s">
        <v>40</v>
      </c>
      <c r="D18" s="32">
        <v>2.06</v>
      </c>
      <c r="E18" s="29">
        <f t="shared" si="0"/>
        <v>6.2785736056080463E-4</v>
      </c>
      <c r="F18" s="30">
        <f t="shared" si="1"/>
        <v>0.62785736056080466</v>
      </c>
      <c r="G18" s="7" t="s">
        <v>44</v>
      </c>
      <c r="H18" s="19">
        <f t="shared" si="2"/>
        <v>5.0375563639825049</v>
      </c>
      <c r="I18" s="30">
        <f t="shared" si="3"/>
        <v>6.2785736056080468E-2</v>
      </c>
      <c r="J18" s="31">
        <f t="shared" si="4"/>
        <v>2.7545219562516117</v>
      </c>
      <c r="K18" s="32">
        <f t="shared" si="5"/>
        <v>2.8173076923076921</v>
      </c>
      <c r="L18" s="19">
        <f t="shared" si="6"/>
        <v>20.8</v>
      </c>
      <c r="M18" s="19">
        <f t="shared" si="7"/>
        <v>1.3059433099664739</v>
      </c>
      <c r="N18" s="19">
        <f t="shared" si="8"/>
        <v>57.294056690033528</v>
      </c>
      <c r="O18" s="21">
        <f t="shared" si="9"/>
        <v>1191.7163791526975</v>
      </c>
      <c r="P18" s="52">
        <f t="shared" si="10"/>
        <v>0.97771427798692034</v>
      </c>
      <c r="Q18" s="7"/>
    </row>
    <row r="19" spans="2:22" ht="21" customHeight="1" x14ac:dyDescent="0.25">
      <c r="B19" s="46">
        <v>10</v>
      </c>
      <c r="C19" s="7" t="s">
        <v>40</v>
      </c>
      <c r="D19" s="32">
        <v>3.2770000000000001</v>
      </c>
      <c r="E19" s="29">
        <f t="shared" si="0"/>
        <v>9.9878085949405677E-4</v>
      </c>
      <c r="F19" s="30">
        <f t="shared" si="1"/>
        <v>0.99878085949405682</v>
      </c>
      <c r="G19" s="7" t="s">
        <v>41</v>
      </c>
      <c r="H19" s="19">
        <f t="shared" si="2"/>
        <v>3.1678311942111086</v>
      </c>
      <c r="I19" s="30">
        <f t="shared" si="3"/>
        <v>9.9878085949405671E-2</v>
      </c>
      <c r="J19" s="31">
        <f t="shared" si="4"/>
        <v>2.7174296063582863</v>
      </c>
      <c r="K19" s="32">
        <f t="shared" si="5"/>
        <v>2.8173076923076921</v>
      </c>
      <c r="L19" s="19">
        <f t="shared" si="6"/>
        <v>20.8</v>
      </c>
      <c r="M19" s="19">
        <f t="shared" si="7"/>
        <v>2.0774641877476383</v>
      </c>
      <c r="N19" s="19">
        <f t="shared" si="8"/>
        <v>56.522535812252364</v>
      </c>
      <c r="O19" s="21">
        <f t="shared" si="9"/>
        <v>1175.6687448948492</v>
      </c>
      <c r="P19" s="52">
        <f t="shared" si="10"/>
        <v>0.96454839270055215</v>
      </c>
      <c r="Q19" s="7"/>
    </row>
    <row r="20" spans="2:22" ht="21" customHeight="1" x14ac:dyDescent="0.25">
      <c r="B20" s="53">
        <v>8</v>
      </c>
      <c r="C20" s="54" t="s">
        <v>45</v>
      </c>
      <c r="D20" s="55">
        <v>3.3285999999999998</v>
      </c>
      <c r="E20" s="56">
        <f t="shared" si="0"/>
        <v>1.0145077720207253E-3</v>
      </c>
      <c r="F20" s="55">
        <f t="shared" si="1"/>
        <v>1.0145077720207254</v>
      </c>
      <c r="G20" s="54" t="s">
        <v>46</v>
      </c>
      <c r="H20" s="57">
        <f t="shared" si="2"/>
        <v>5.0375563639825049</v>
      </c>
      <c r="I20" s="58">
        <f t="shared" si="3"/>
        <v>0.10145077720207253</v>
      </c>
      <c r="J20" s="59">
        <f t="shared" si="4"/>
        <v>2.7158569151056193</v>
      </c>
      <c r="K20" s="55">
        <f t="shared" si="5"/>
        <v>2.8173076923076921</v>
      </c>
      <c r="L20" s="57">
        <f t="shared" si="6"/>
        <v>20.8</v>
      </c>
      <c r="M20" s="57">
        <f t="shared" si="7"/>
        <v>2.1101761658031091</v>
      </c>
      <c r="N20" s="57">
        <f t="shared" si="8"/>
        <v>56.489823834196891</v>
      </c>
      <c r="O20" s="60">
        <f t="shared" si="9"/>
        <v>1174.9883357512954</v>
      </c>
      <c r="P20" s="61">
        <f t="shared" si="10"/>
        <v>0.96399016781905955</v>
      </c>
      <c r="Q20" s="7"/>
      <c r="R20" s="62" t="s">
        <v>47</v>
      </c>
      <c r="S20" s="62"/>
      <c r="T20" s="62"/>
      <c r="U20" s="62"/>
      <c r="V20" s="62"/>
    </row>
    <row r="21" spans="2:22" ht="21" customHeight="1" x14ac:dyDescent="0.25">
      <c r="B21" s="46">
        <v>10</v>
      </c>
      <c r="C21" s="7" t="s">
        <v>40</v>
      </c>
      <c r="D21" s="55">
        <v>3.5015000000000001</v>
      </c>
      <c r="E21" s="29">
        <f t="shared" si="0"/>
        <v>1.0672051203901251E-3</v>
      </c>
      <c r="F21" s="32">
        <f t="shared" si="1"/>
        <v>1.0672051203901252</v>
      </c>
      <c r="G21" s="7" t="s">
        <v>46</v>
      </c>
      <c r="H21" s="19">
        <f t="shared" si="2"/>
        <v>3.1678311942111086</v>
      </c>
      <c r="I21" s="30">
        <f t="shared" si="3"/>
        <v>0.10672051203901251</v>
      </c>
      <c r="J21" s="31">
        <f t="shared" si="4"/>
        <v>2.7105871802686794</v>
      </c>
      <c r="K21" s="32">
        <f t="shared" si="5"/>
        <v>2.8173076923076921</v>
      </c>
      <c r="L21" s="19">
        <f t="shared" si="6"/>
        <v>20.8</v>
      </c>
      <c r="M21" s="19">
        <f t="shared" si="7"/>
        <v>2.2197866504114603</v>
      </c>
      <c r="N21" s="19">
        <f t="shared" si="8"/>
        <v>56.380213349588537</v>
      </c>
      <c r="O21" s="21">
        <f t="shared" si="9"/>
        <v>1172.7084376714415</v>
      </c>
      <c r="P21" s="52">
        <f t="shared" si="10"/>
        <v>0.96211968173359264</v>
      </c>
      <c r="Q21" s="7"/>
      <c r="R21" s="1" t="s">
        <v>48</v>
      </c>
    </row>
    <row r="22" spans="2:22" ht="21" customHeight="1" x14ac:dyDescent="0.25">
      <c r="B22" s="46">
        <v>12</v>
      </c>
      <c r="C22" s="7" t="s">
        <v>40</v>
      </c>
      <c r="D22" s="32">
        <v>5.2086399999999999</v>
      </c>
      <c r="E22" s="29">
        <f t="shared" si="0"/>
        <v>1.5875160012191404E-3</v>
      </c>
      <c r="F22" s="32">
        <f t="shared" si="1"/>
        <v>1.5875160012191405</v>
      </c>
      <c r="G22" s="7" t="s">
        <v>44</v>
      </c>
      <c r="H22" s="19">
        <f t="shared" si="2"/>
        <v>1.9917571487926082</v>
      </c>
      <c r="I22" s="30">
        <f t="shared" si="3"/>
        <v>0.15875160012191405</v>
      </c>
      <c r="J22" s="31">
        <f t="shared" si="4"/>
        <v>2.658556092185778</v>
      </c>
      <c r="K22" s="32">
        <f t="shared" si="5"/>
        <v>2.8173076923076921</v>
      </c>
      <c r="L22" s="19">
        <f t="shared" si="6"/>
        <v>20.8</v>
      </c>
      <c r="M22" s="19">
        <f t="shared" si="7"/>
        <v>3.3020332825358127</v>
      </c>
      <c r="N22" s="19">
        <f t="shared" si="8"/>
        <v>55.297966717464192</v>
      </c>
      <c r="O22" s="21">
        <f t="shared" si="9"/>
        <v>1150.1977077232552</v>
      </c>
      <c r="P22" s="52">
        <f t="shared" si="10"/>
        <v>0.94365130917174389</v>
      </c>
      <c r="Q22" s="7"/>
    </row>
    <row r="23" spans="2:22" ht="21" customHeight="1" x14ac:dyDescent="0.25">
      <c r="B23" s="63">
        <v>10</v>
      </c>
      <c r="C23" s="27" t="s">
        <v>40</v>
      </c>
      <c r="D23" s="64">
        <v>5.6390000000000002</v>
      </c>
      <c r="E23" s="65">
        <f t="shared" si="0"/>
        <v>1.7186833282535814E-3</v>
      </c>
      <c r="F23" s="66">
        <f t="shared" si="1"/>
        <v>1.7186833282535814</v>
      </c>
      <c r="G23" s="27" t="s">
        <v>46</v>
      </c>
      <c r="H23" s="67">
        <f t="shared" si="2"/>
        <v>3.1678311942111086</v>
      </c>
      <c r="I23" s="68">
        <f t="shared" si="3"/>
        <v>0.17186833282535813</v>
      </c>
      <c r="J23" s="69">
        <f t="shared" si="4"/>
        <v>2.6454393594823338</v>
      </c>
      <c r="K23" s="66">
        <f t="shared" si="5"/>
        <v>2.8173076923076921</v>
      </c>
      <c r="L23" s="67">
        <f t="shared" si="6"/>
        <v>20.8</v>
      </c>
      <c r="M23" s="67">
        <f t="shared" si="7"/>
        <v>3.5748613227674495</v>
      </c>
      <c r="N23" s="67">
        <f t="shared" si="8"/>
        <v>55.025138677232547</v>
      </c>
      <c r="O23" s="70">
        <f t="shared" si="9"/>
        <v>1144.5228844864371</v>
      </c>
      <c r="P23" s="71">
        <f t="shared" si="10"/>
        <v>0.93899554056710832</v>
      </c>
      <c r="Q23" s="7"/>
      <c r="R23" s="72" t="s">
        <v>49</v>
      </c>
      <c r="S23" s="73"/>
      <c r="T23" s="73"/>
      <c r="U23" s="73"/>
      <c r="V23" s="73"/>
    </row>
    <row r="24" spans="2:22" ht="21" customHeight="1" x14ac:dyDescent="0.25">
      <c r="B24" s="46">
        <v>13</v>
      </c>
      <c r="C24" s="7" t="s">
        <v>40</v>
      </c>
      <c r="D24" s="32">
        <v>6.5698400000000001</v>
      </c>
      <c r="E24" s="29">
        <f t="shared" si="0"/>
        <v>2.0023895153916489E-3</v>
      </c>
      <c r="F24" s="32">
        <f t="shared" si="1"/>
        <v>2.0023895153916489</v>
      </c>
      <c r="G24" s="7" t="s">
        <v>44</v>
      </c>
      <c r="H24" s="19">
        <f t="shared" si="2"/>
        <v>1.5815344481149032</v>
      </c>
      <c r="I24" s="30">
        <f t="shared" si="3"/>
        <v>0.20023895153916488</v>
      </c>
      <c r="J24" s="31">
        <f t="shared" si="4"/>
        <v>2.6170687407685271</v>
      </c>
      <c r="K24" s="32">
        <f t="shared" si="5"/>
        <v>2.8173076923076921</v>
      </c>
      <c r="L24" s="19">
        <f t="shared" si="6"/>
        <v>20.8</v>
      </c>
      <c r="M24" s="19">
        <f t="shared" si="7"/>
        <v>4.1649701920146303</v>
      </c>
      <c r="N24" s="19">
        <f t="shared" si="8"/>
        <v>54.435029807985366</v>
      </c>
      <c r="O24" s="21">
        <f t="shared" si="9"/>
        <v>1132.2486200060957</v>
      </c>
      <c r="P24" s="52">
        <f t="shared" si="10"/>
        <v>0.92892542334446015</v>
      </c>
      <c r="Q24" s="7"/>
    </row>
    <row r="25" spans="2:22" ht="21" customHeight="1" x14ac:dyDescent="0.25">
      <c r="B25" s="63">
        <v>12</v>
      </c>
      <c r="C25" s="27" t="s">
        <v>40</v>
      </c>
      <c r="D25" s="66">
        <v>6.8310000000000004</v>
      </c>
      <c r="E25" s="65">
        <f t="shared" si="0"/>
        <v>2.0819871990246878E-3</v>
      </c>
      <c r="F25" s="66">
        <f t="shared" si="1"/>
        <v>2.0819871990246877</v>
      </c>
      <c r="G25" s="27" t="s">
        <v>46</v>
      </c>
      <c r="H25" s="67">
        <f t="shared" si="2"/>
        <v>1.9917571487926082</v>
      </c>
      <c r="I25" s="68">
        <f t="shared" si="3"/>
        <v>0.20819871990246877</v>
      </c>
      <c r="J25" s="69">
        <f t="shared" si="4"/>
        <v>2.6091089724052234</v>
      </c>
      <c r="K25" s="66">
        <f t="shared" si="5"/>
        <v>2.8173076923076921</v>
      </c>
      <c r="L25" s="67">
        <f t="shared" si="6"/>
        <v>20.8</v>
      </c>
      <c r="M25" s="67">
        <f t="shared" si="7"/>
        <v>4.3305333739713507</v>
      </c>
      <c r="N25" s="67">
        <f t="shared" si="8"/>
        <v>54.26946662602866</v>
      </c>
      <c r="O25" s="70">
        <f t="shared" si="9"/>
        <v>1128.8049058213962</v>
      </c>
      <c r="P25" s="71">
        <f t="shared" si="10"/>
        <v>0.92610011307216145</v>
      </c>
      <c r="Q25" s="7"/>
      <c r="R25" s="73" t="s">
        <v>50</v>
      </c>
      <c r="S25" s="73"/>
      <c r="T25" s="73"/>
      <c r="U25" s="73"/>
      <c r="V25" s="73"/>
    </row>
    <row r="26" spans="2:22" ht="21" customHeight="1" x14ac:dyDescent="0.25">
      <c r="B26" s="46">
        <v>14</v>
      </c>
      <c r="C26" s="7" t="s">
        <v>40</v>
      </c>
      <c r="D26" s="32">
        <v>8.282</v>
      </c>
      <c r="E26" s="29">
        <f t="shared" si="0"/>
        <v>2.5242304175556235E-3</v>
      </c>
      <c r="F26" s="32">
        <f t="shared" si="1"/>
        <v>2.5242304175556236</v>
      </c>
      <c r="G26" s="7" t="s">
        <v>44</v>
      </c>
      <c r="H26" s="19">
        <f t="shared" si="2"/>
        <v>1.2535155393053616</v>
      </c>
      <c r="I26" s="30">
        <f t="shared" si="3"/>
        <v>0.25242304175556235</v>
      </c>
      <c r="J26" s="31">
        <f t="shared" si="4"/>
        <v>2.5648846505521297</v>
      </c>
      <c r="K26" s="32">
        <f t="shared" si="5"/>
        <v>2.8173076923076921</v>
      </c>
      <c r="L26" s="19">
        <f t="shared" si="6"/>
        <v>20.8</v>
      </c>
      <c r="M26" s="19">
        <f t="shared" si="7"/>
        <v>5.2503992685156975</v>
      </c>
      <c r="N26" s="19">
        <f t="shared" si="8"/>
        <v>53.349600731484301</v>
      </c>
      <c r="O26" s="21">
        <f t="shared" si="9"/>
        <v>1109.6716952148736</v>
      </c>
      <c r="P26" s="52">
        <f t="shared" si="10"/>
        <v>0.91040274285809386</v>
      </c>
      <c r="Q26" s="7"/>
    </row>
    <row r="27" spans="2:22" ht="21" customHeight="1" x14ac:dyDescent="0.25">
      <c r="B27" s="53">
        <v>10</v>
      </c>
      <c r="C27" s="54" t="s">
        <v>45</v>
      </c>
      <c r="D27" s="55">
        <v>8.8640000000000008</v>
      </c>
      <c r="E27" s="56">
        <f t="shared" si="0"/>
        <v>2.701615361170375E-3</v>
      </c>
      <c r="F27" s="55">
        <f t="shared" si="1"/>
        <v>2.7016153611703748</v>
      </c>
      <c r="G27" s="54" t="s">
        <v>46</v>
      </c>
      <c r="H27" s="57">
        <f t="shared" si="2"/>
        <v>3.1678311942111086</v>
      </c>
      <c r="I27" s="58">
        <f t="shared" si="3"/>
        <v>0.27016153611703747</v>
      </c>
      <c r="J27" s="59">
        <f t="shared" si="4"/>
        <v>2.5471461561906548</v>
      </c>
      <c r="K27" s="55">
        <f t="shared" si="5"/>
        <v>2.8173076923076921</v>
      </c>
      <c r="L27" s="57">
        <f t="shared" si="6"/>
        <v>20.8</v>
      </c>
      <c r="M27" s="57">
        <f t="shared" si="7"/>
        <v>5.6193599512343804</v>
      </c>
      <c r="N27" s="57">
        <f t="shared" si="8"/>
        <v>52.980640048765622</v>
      </c>
      <c r="O27" s="74">
        <f t="shared" si="9"/>
        <v>1101.9973130143251</v>
      </c>
      <c r="P27" s="75">
        <f t="shared" si="10"/>
        <v>0.90410648547381611</v>
      </c>
      <c r="Q27" s="76" t="s">
        <v>51</v>
      </c>
      <c r="R27" s="62" t="s">
        <v>52</v>
      </c>
      <c r="S27" s="62"/>
      <c r="T27" s="62"/>
      <c r="U27" s="62"/>
      <c r="V27" s="62"/>
    </row>
    <row r="28" spans="2:22" ht="21" customHeight="1" x14ac:dyDescent="0.25">
      <c r="B28" s="46">
        <v>16</v>
      </c>
      <c r="C28" s="7" t="s">
        <v>40</v>
      </c>
      <c r="D28" s="19">
        <v>13.17248</v>
      </c>
      <c r="E28" s="29">
        <f t="shared" si="0"/>
        <v>4.0147759829320326E-3</v>
      </c>
      <c r="F28" s="32">
        <f t="shared" si="1"/>
        <v>4.0147759829320329</v>
      </c>
      <c r="G28" s="7" t="s">
        <v>41</v>
      </c>
      <c r="H28" s="19">
        <f t="shared" si="2"/>
        <v>0.78730151585324915</v>
      </c>
      <c r="I28" s="30">
        <f t="shared" si="3"/>
        <v>0.40147759829320329</v>
      </c>
      <c r="J28" s="31">
        <f t="shared" si="4"/>
        <v>2.4158300940144888</v>
      </c>
      <c r="K28" s="32">
        <f t="shared" si="5"/>
        <v>2.8173076923076921</v>
      </c>
      <c r="L28" s="19">
        <f t="shared" si="6"/>
        <v>20.8</v>
      </c>
      <c r="M28" s="19">
        <f t="shared" si="7"/>
        <v>8.3507340444986298</v>
      </c>
      <c r="N28" s="19">
        <f t="shared" si="8"/>
        <v>50.249265955501372</v>
      </c>
      <c r="O28" s="21">
        <f t="shared" si="9"/>
        <v>1045.1847318744285</v>
      </c>
      <c r="P28" s="52">
        <f t="shared" si="10"/>
        <v>0.85749600606657617</v>
      </c>
      <c r="Q28" s="7"/>
      <c r="R28" s="1" t="s">
        <v>53</v>
      </c>
    </row>
    <row r="29" spans="2:22" ht="22" customHeight="1" thickBot="1" x14ac:dyDescent="0.3">
      <c r="B29" s="77">
        <v>18</v>
      </c>
      <c r="C29" s="34" t="s">
        <v>40</v>
      </c>
      <c r="D29" s="78">
        <v>20.942799999999998</v>
      </c>
      <c r="E29" s="79">
        <f t="shared" si="0"/>
        <v>6.3830539469673878E-3</v>
      </c>
      <c r="F29" s="80">
        <f t="shared" si="1"/>
        <v>6.3830539469673875</v>
      </c>
      <c r="G29" s="34" t="s">
        <v>44</v>
      </c>
      <c r="H29" s="78">
        <f t="shared" si="2"/>
        <v>0.62605150957409561</v>
      </c>
      <c r="I29" s="81">
        <f t="shared" si="3"/>
        <v>0.63830539469673875</v>
      </c>
      <c r="J29" s="35">
        <f t="shared" si="4"/>
        <v>2.1790022976109533</v>
      </c>
      <c r="K29" s="80">
        <f t="shared" si="5"/>
        <v>2.8173076923076921</v>
      </c>
      <c r="L29" s="78">
        <f t="shared" si="6"/>
        <v>20.8</v>
      </c>
      <c r="M29" s="78">
        <f t="shared" si="7"/>
        <v>13.276752209692166</v>
      </c>
      <c r="N29" s="78">
        <f t="shared" si="8"/>
        <v>45.323247790307832</v>
      </c>
      <c r="O29" s="82">
        <f t="shared" si="9"/>
        <v>942.72355403840288</v>
      </c>
      <c r="P29" s="83">
        <f t="shared" si="10"/>
        <v>0.77343426263323933</v>
      </c>
      <c r="Q29" s="7"/>
    </row>
    <row r="30" spans="2:22" ht="21" customHeight="1" x14ac:dyDescent="0.25">
      <c r="F30" s="7"/>
      <c r="H30" s="1"/>
      <c r="I30" s="2"/>
      <c r="J30" s="3"/>
      <c r="L30" s="4"/>
      <c r="M30" s="5"/>
      <c r="N30" s="6"/>
      <c r="O30" s="84" t="str">
        <f>_xlfn.CONCAT("-",TEXT(O17-O27,"#")," W")</f>
        <v>-95 W</v>
      </c>
      <c r="P30" s="85">
        <f>-(1-P27/P17)</f>
        <v>-7.9622941810481462E-2</v>
      </c>
      <c r="R30" s="86" t="s">
        <v>54</v>
      </c>
      <c r="S30" s="86"/>
      <c r="T30" s="86"/>
      <c r="U30" s="86"/>
      <c r="V30" s="86"/>
    </row>
    <row r="31" spans="2:22" ht="21" customHeight="1" x14ac:dyDescent="0.25">
      <c r="H31" s="1"/>
      <c r="I31" s="2"/>
      <c r="J31" s="2"/>
      <c r="L31" s="4"/>
      <c r="M31" s="5"/>
      <c r="N31" s="6"/>
      <c r="O31" s="87">
        <f>-(172-39)/100*wire_feet</f>
        <v>-66.5</v>
      </c>
      <c r="R31" s="88" t="s">
        <v>55</v>
      </c>
      <c r="S31" s="88"/>
      <c r="T31" s="88"/>
      <c r="U31" s="88"/>
      <c r="V31" s="88"/>
    </row>
    <row r="32" spans="2:22" ht="21" customHeight="1" x14ac:dyDescent="0.25">
      <c r="K32" s="4">
        <f>J48*C48</f>
        <v>4.8139149194363923E-3</v>
      </c>
    </row>
    <row r="33" spans="2:24" ht="21" customHeight="1" x14ac:dyDescent="0.25">
      <c r="B33" s="1" t="s">
        <v>56</v>
      </c>
    </row>
    <row r="35" spans="2:24" ht="21" customHeight="1" x14ac:dyDescent="0.25">
      <c r="B35" s="89"/>
      <c r="C35" s="89" t="s">
        <v>57</v>
      </c>
      <c r="D35" s="90" t="s">
        <v>58</v>
      </c>
      <c r="E35" s="89" t="s">
        <v>20</v>
      </c>
      <c r="F35" s="89" t="s">
        <v>59</v>
      </c>
      <c r="G35" s="89" t="s">
        <v>60</v>
      </c>
      <c r="H35" s="89" t="s">
        <v>61</v>
      </c>
      <c r="I35" s="91" t="s">
        <v>62</v>
      </c>
      <c r="J35" s="92"/>
      <c r="K35" s="5"/>
      <c r="L35" s="4"/>
      <c r="M35" s="4"/>
    </row>
    <row r="36" spans="2:24" ht="22" customHeight="1" thickBot="1" x14ac:dyDescent="0.3">
      <c r="B36" s="89" t="s">
        <v>63</v>
      </c>
      <c r="C36" s="89" t="s">
        <v>28</v>
      </c>
      <c r="D36" s="90" t="s">
        <v>64</v>
      </c>
      <c r="E36" s="89" t="s">
        <v>34</v>
      </c>
      <c r="F36" s="89" t="s">
        <v>65</v>
      </c>
      <c r="G36" s="89" t="s">
        <v>36</v>
      </c>
      <c r="H36" s="89" t="s">
        <v>37</v>
      </c>
      <c r="I36" s="91" t="s">
        <v>35</v>
      </c>
      <c r="J36" s="92" t="s">
        <v>66</v>
      </c>
      <c r="K36" s="90" t="s">
        <v>32</v>
      </c>
      <c r="L36" s="92" t="s">
        <v>30</v>
      </c>
      <c r="M36" s="93" t="s">
        <v>67</v>
      </c>
      <c r="N36" s="4"/>
      <c r="O36" s="5"/>
      <c r="P36" s="94" t="s">
        <v>68</v>
      </c>
      <c r="Q36" s="95"/>
      <c r="R36" s="95"/>
      <c r="S36" s="95"/>
      <c r="T36" s="95"/>
      <c r="U36" s="95"/>
      <c r="V36" s="95"/>
      <c r="W36" s="95"/>
      <c r="X36" s="95"/>
    </row>
    <row r="37" spans="2:24" ht="21" customHeight="1" x14ac:dyDescent="0.25">
      <c r="B37" s="36" t="s">
        <v>40</v>
      </c>
      <c r="C37" s="44">
        <v>6</v>
      </c>
      <c r="D37" s="37">
        <v>50</v>
      </c>
      <c r="E37" s="96">
        <f t="shared" ref="E37:E49" si="11">IF(C37="","",VLOOKUP(C37,copper_wire_table,5,FALSE)*D37*2/1000)</f>
        <v>8.0065181435816957</v>
      </c>
      <c r="F37" s="37"/>
      <c r="G37" s="43">
        <v>2</v>
      </c>
      <c r="H37" s="97">
        <v>3.95E-2</v>
      </c>
      <c r="I37" s="41">
        <f t="shared" ref="I37:I49" si="12">IF(OR(G37="",H37=""),"",H37/G37)</f>
        <v>1.975E-2</v>
      </c>
      <c r="J37" s="98">
        <f t="shared" ref="J37:J49" si="13">IF(OR(D37="",H37="",I37=""),"",I37/D37)</f>
        <v>3.9500000000000001E-4</v>
      </c>
      <c r="K37" s="40">
        <f t="shared" ref="K37:K49" si="14">IF(OR(H37="",J37=""),"",J37*1000)</f>
        <v>0.39500000000000002</v>
      </c>
      <c r="L37" s="99">
        <f t="shared" ref="L37:L49" si="15">IF(OR(H37="",J37=""),"",J37*ft_per_km)</f>
        <v>1.295995</v>
      </c>
      <c r="M37" s="100" t="s">
        <v>69</v>
      </c>
      <c r="N37" s="101"/>
      <c r="O37" s="5"/>
      <c r="P37" s="1" t="s">
        <v>70</v>
      </c>
    </row>
    <row r="38" spans="2:24" ht="21" customHeight="1" x14ac:dyDescent="0.25">
      <c r="B38" s="46" t="s">
        <v>40</v>
      </c>
      <c r="C38" s="7">
        <v>8</v>
      </c>
      <c r="D38" s="21">
        <v>100</v>
      </c>
      <c r="E38" s="102">
        <f t="shared" si="11"/>
        <v>10.07511272796501</v>
      </c>
      <c r="F38" s="7"/>
      <c r="G38" s="19">
        <v>2</v>
      </c>
      <c r="H38" s="103">
        <v>9.9500000000000005E-2</v>
      </c>
      <c r="I38" s="48">
        <f t="shared" si="12"/>
        <v>4.9750000000000003E-2</v>
      </c>
      <c r="J38" s="104">
        <f t="shared" si="13"/>
        <v>4.975E-4</v>
      </c>
      <c r="K38" s="30">
        <f t="shared" si="14"/>
        <v>0.4975</v>
      </c>
      <c r="L38" s="105">
        <f t="shared" si="15"/>
        <v>1.6322975</v>
      </c>
      <c r="M38" s="106" t="s">
        <v>71</v>
      </c>
      <c r="N38" s="107"/>
      <c r="P38" s="5" t="s">
        <v>72</v>
      </c>
    </row>
    <row r="39" spans="2:24" ht="21" customHeight="1" x14ac:dyDescent="0.25">
      <c r="B39" s="46" t="s">
        <v>40</v>
      </c>
      <c r="C39" s="21">
        <v>10</v>
      </c>
      <c r="D39" s="21">
        <v>25</v>
      </c>
      <c r="E39" s="102">
        <f t="shared" si="11"/>
        <v>1.5839155971055543</v>
      </c>
      <c r="F39" s="7">
        <v>1.25</v>
      </c>
      <c r="G39" s="19">
        <v>2</v>
      </c>
      <c r="H39" s="103">
        <v>5.3359999999999998E-2</v>
      </c>
      <c r="I39" s="48">
        <f t="shared" si="12"/>
        <v>2.6679999999999999E-2</v>
      </c>
      <c r="J39" s="104">
        <f t="shared" si="13"/>
        <v>1.0671999999999999E-3</v>
      </c>
      <c r="K39" s="30">
        <f t="shared" si="14"/>
        <v>1.0671999999999999</v>
      </c>
      <c r="L39" s="66">
        <f t="shared" si="15"/>
        <v>3.5014831999999996</v>
      </c>
      <c r="M39" s="106" t="s">
        <v>71</v>
      </c>
      <c r="N39" s="107"/>
      <c r="P39" s="1" t="s">
        <v>73</v>
      </c>
    </row>
    <row r="40" spans="2:24" ht="21" customHeight="1" x14ac:dyDescent="0.25">
      <c r="B40" s="46" t="s">
        <v>40</v>
      </c>
      <c r="C40" s="21">
        <v>10</v>
      </c>
      <c r="D40" s="21">
        <v>25</v>
      </c>
      <c r="E40" s="102">
        <f t="shared" si="11"/>
        <v>1.5839155971055543</v>
      </c>
      <c r="F40" s="7">
        <v>1.25</v>
      </c>
      <c r="G40" s="19">
        <v>2</v>
      </c>
      <c r="H40" s="103">
        <v>5.3199999999999997E-2</v>
      </c>
      <c r="I40" s="48">
        <f t="shared" si="12"/>
        <v>2.6599999999999999E-2</v>
      </c>
      <c r="J40" s="104">
        <f t="shared" si="13"/>
        <v>1.0639999999999998E-3</v>
      </c>
      <c r="K40" s="30">
        <f t="shared" si="14"/>
        <v>1.0639999999999998</v>
      </c>
      <c r="L40" s="66">
        <f t="shared" si="15"/>
        <v>3.4909839999999996</v>
      </c>
      <c r="M40" s="106" t="s">
        <v>71</v>
      </c>
      <c r="N40" s="107"/>
      <c r="P40" s="1" t="s">
        <v>74</v>
      </c>
    </row>
    <row r="41" spans="2:24" ht="21" customHeight="1" x14ac:dyDescent="0.25">
      <c r="B41" s="46" t="s">
        <v>40</v>
      </c>
      <c r="C41" s="21">
        <v>10</v>
      </c>
      <c r="D41" s="102">
        <v>100.3</v>
      </c>
      <c r="E41" s="102">
        <f t="shared" si="11"/>
        <v>6.3546693755874841</v>
      </c>
      <c r="F41" s="7">
        <v>8.4</v>
      </c>
      <c r="G41" s="19">
        <v>2.0019999999999998</v>
      </c>
      <c r="H41" s="103">
        <v>0.2102</v>
      </c>
      <c r="I41" s="48">
        <f t="shared" si="12"/>
        <v>0.10499500499500501</v>
      </c>
      <c r="J41" s="104">
        <f t="shared" si="13"/>
        <v>1.0468096210867897E-3</v>
      </c>
      <c r="K41" s="30">
        <f t="shared" si="14"/>
        <v>1.0468096210867897</v>
      </c>
      <c r="L41" s="66">
        <f t="shared" si="15"/>
        <v>3.4345823667857571</v>
      </c>
      <c r="M41" s="106" t="s">
        <v>71</v>
      </c>
      <c r="N41" s="107"/>
      <c r="P41" s="108" t="s">
        <v>75</v>
      </c>
    </row>
    <row r="42" spans="2:24" ht="21" customHeight="1" x14ac:dyDescent="0.25">
      <c r="B42" s="53" t="s">
        <v>45</v>
      </c>
      <c r="C42" s="60">
        <v>8</v>
      </c>
      <c r="D42" s="60">
        <v>12</v>
      </c>
      <c r="E42" s="109">
        <f t="shared" si="11"/>
        <v>1.2090135273558011</v>
      </c>
      <c r="F42" s="54"/>
      <c r="G42" s="57">
        <v>2</v>
      </c>
      <c r="H42" s="56">
        <v>2.4348000000000002E-2</v>
      </c>
      <c r="I42" s="110">
        <f t="shared" si="12"/>
        <v>1.2174000000000001E-2</v>
      </c>
      <c r="J42" s="111">
        <f t="shared" si="13"/>
        <v>1.0145E-3</v>
      </c>
      <c r="K42" s="58">
        <f t="shared" si="14"/>
        <v>1.0145</v>
      </c>
      <c r="L42" s="55">
        <f t="shared" si="15"/>
        <v>3.3285744999999998</v>
      </c>
      <c r="M42" s="106" t="s">
        <v>76</v>
      </c>
      <c r="N42" s="107"/>
      <c r="P42" s="5" t="s">
        <v>77</v>
      </c>
    </row>
    <row r="43" spans="2:24" ht="21" customHeight="1" x14ac:dyDescent="0.25">
      <c r="B43" s="53" t="s">
        <v>45</v>
      </c>
      <c r="C43" s="60">
        <v>8</v>
      </c>
      <c r="D43" s="60">
        <v>24</v>
      </c>
      <c r="E43" s="109">
        <f t="shared" si="11"/>
        <v>2.4180270547116023</v>
      </c>
      <c r="F43" s="54"/>
      <c r="G43" s="57">
        <v>2</v>
      </c>
      <c r="H43" s="56">
        <v>4.8956E-2</v>
      </c>
      <c r="I43" s="110">
        <f t="shared" si="12"/>
        <v>2.4478E-2</v>
      </c>
      <c r="J43" s="111">
        <f t="shared" si="13"/>
        <v>1.0199166666666666E-3</v>
      </c>
      <c r="K43" s="58">
        <f t="shared" si="14"/>
        <v>1.0199166666666666</v>
      </c>
      <c r="L43" s="55">
        <f t="shared" si="15"/>
        <v>3.3463465833333332</v>
      </c>
      <c r="M43" s="106" t="s">
        <v>76</v>
      </c>
      <c r="N43" s="107"/>
      <c r="P43" s="5" t="s">
        <v>78</v>
      </c>
    </row>
    <row r="44" spans="2:24" ht="21" customHeight="1" x14ac:dyDescent="0.25">
      <c r="B44" s="46" t="s">
        <v>40</v>
      </c>
      <c r="C44" s="7">
        <v>10</v>
      </c>
      <c r="D44" s="32">
        <v>16.875</v>
      </c>
      <c r="E44" s="102">
        <f t="shared" si="11"/>
        <v>1.0691430280462491</v>
      </c>
      <c r="F44" s="7"/>
      <c r="G44" s="19">
        <v>2</v>
      </c>
      <c r="H44" s="103">
        <v>5.8000000000000003E-2</v>
      </c>
      <c r="I44" s="48">
        <f t="shared" si="12"/>
        <v>2.9000000000000001E-2</v>
      </c>
      <c r="J44" s="104">
        <f t="shared" si="13"/>
        <v>1.7185185185185185E-3</v>
      </c>
      <c r="K44" s="30">
        <f t="shared" si="14"/>
        <v>1.7185185185185186</v>
      </c>
      <c r="L44" s="66">
        <f t="shared" si="15"/>
        <v>5.6384592592592595</v>
      </c>
      <c r="M44" s="106" t="s">
        <v>79</v>
      </c>
      <c r="N44" s="107"/>
      <c r="O44" s="5"/>
      <c r="P44" s="6" t="s">
        <v>80</v>
      </c>
    </row>
    <row r="45" spans="2:24" ht="21" customHeight="1" x14ac:dyDescent="0.25">
      <c r="B45" s="112" t="s">
        <v>40</v>
      </c>
      <c r="C45" s="113">
        <v>12</v>
      </c>
      <c r="D45" s="113">
        <v>100</v>
      </c>
      <c r="E45" s="114">
        <f t="shared" si="11"/>
        <v>3.9835142975852165</v>
      </c>
      <c r="F45" s="11"/>
      <c r="G45" s="115">
        <v>2</v>
      </c>
      <c r="H45" s="116">
        <v>0.41639999999999999</v>
      </c>
      <c r="I45" s="117">
        <f t="shared" si="12"/>
        <v>0.2082</v>
      </c>
      <c r="J45" s="118">
        <f t="shared" si="13"/>
        <v>2.0820000000000001E-3</v>
      </c>
      <c r="K45" s="116">
        <f t="shared" si="14"/>
        <v>2.0820000000000003</v>
      </c>
      <c r="L45" s="64">
        <f t="shared" si="15"/>
        <v>6.8310420000000001</v>
      </c>
      <c r="M45" s="106" t="s">
        <v>81</v>
      </c>
      <c r="N45" s="107"/>
      <c r="O45" s="5"/>
      <c r="P45" s="1" t="s">
        <v>82</v>
      </c>
    </row>
    <row r="46" spans="2:24" ht="21" customHeight="1" x14ac:dyDescent="0.25">
      <c r="B46" s="53" t="s">
        <v>45</v>
      </c>
      <c r="C46" s="60">
        <v>10</v>
      </c>
      <c r="D46" s="54">
        <v>100</v>
      </c>
      <c r="E46" s="109">
        <f t="shared" si="11"/>
        <v>6.3356623884222172</v>
      </c>
      <c r="F46" s="54"/>
      <c r="G46" s="57">
        <v>2</v>
      </c>
      <c r="H46" s="58">
        <v>0.5403</v>
      </c>
      <c r="I46" s="110">
        <f t="shared" si="12"/>
        <v>0.27015</v>
      </c>
      <c r="J46" s="111">
        <f t="shared" si="13"/>
        <v>2.7014999999999999E-3</v>
      </c>
      <c r="K46" s="58">
        <f t="shared" si="14"/>
        <v>2.7014999999999998</v>
      </c>
      <c r="L46" s="55">
        <f t="shared" si="15"/>
        <v>8.8636214999999989</v>
      </c>
      <c r="M46" s="106" t="s">
        <v>76</v>
      </c>
      <c r="N46" s="107"/>
      <c r="O46" s="5"/>
      <c r="P46" s="1" t="s">
        <v>83</v>
      </c>
    </row>
    <row r="47" spans="2:24" ht="22" customHeight="1" thickBot="1" x14ac:dyDescent="0.3">
      <c r="B47" s="77" t="s">
        <v>40</v>
      </c>
      <c r="C47" s="82">
        <v>16</v>
      </c>
      <c r="D47" s="78">
        <f>63/12</f>
        <v>5.25</v>
      </c>
      <c r="E47" s="119">
        <f t="shared" ref="E47" si="16">IF(C47="","",VLOOKUP(C47,copper_wire_table,5,FALSE)*D47*2/1000)</f>
        <v>8.2666659164591164E-2</v>
      </c>
      <c r="F47" s="34"/>
      <c r="G47" s="78">
        <v>2</v>
      </c>
      <c r="H47" s="120">
        <v>4.2029999999999998E-2</v>
      </c>
      <c r="I47" s="121">
        <f t="shared" ref="I47" si="17">IF(OR(G47="",H47=""),"",H47/G47)</f>
        <v>2.1014999999999999E-2</v>
      </c>
      <c r="J47" s="122">
        <f t="shared" ref="J47" si="18">IF(OR(D47="",H47="",I47=""),"",I47/D47)</f>
        <v>4.0028571428571431E-3</v>
      </c>
      <c r="K47" s="81">
        <f t="shared" ref="K47" si="19">IF(OR(H47="",J47=""),"",J47*1000)</f>
        <v>4.0028571428571427</v>
      </c>
      <c r="L47" s="123">
        <f t="shared" ref="L47" si="20">IF(OR(H47="",J47=""),"",J47*ft_per_km)</f>
        <v>13.133374285714286</v>
      </c>
      <c r="M47" s="124" t="s">
        <v>84</v>
      </c>
      <c r="N47" s="125"/>
      <c r="O47" s="5"/>
      <c r="P47" s="1" t="s">
        <v>85</v>
      </c>
    </row>
    <row r="48" spans="2:24" ht="22" customHeight="1" thickBot="1" x14ac:dyDescent="0.3">
      <c r="B48" s="77"/>
      <c r="C48" s="82">
        <v>8</v>
      </c>
      <c r="D48" s="78">
        <v>14.833</v>
      </c>
      <c r="E48" s="119"/>
      <c r="F48" s="34"/>
      <c r="G48" s="78">
        <v>5</v>
      </c>
      <c r="H48" s="668">
        <v>4.4628000000000001E-2</v>
      </c>
      <c r="I48" s="121">
        <f t="shared" si="12"/>
        <v>8.9256000000000005E-3</v>
      </c>
      <c r="J48" s="122">
        <f t="shared" si="13"/>
        <v>6.0173936492954904E-4</v>
      </c>
      <c r="K48" s="81">
        <f t="shared" si="14"/>
        <v>0.60173936492954905</v>
      </c>
      <c r="L48" s="123">
        <f t="shared" si="15"/>
        <v>1.9743068563338504</v>
      </c>
      <c r="M48" s="124" t="s">
        <v>84</v>
      </c>
      <c r="N48" s="125"/>
      <c r="O48" s="5"/>
    </row>
    <row r="49" spans="2:14" ht="21" customHeight="1" x14ac:dyDescent="0.25">
      <c r="B49" s="7"/>
      <c r="C49" s="21"/>
      <c r="D49" s="19"/>
      <c r="E49" s="102" t="str">
        <f t="shared" si="11"/>
        <v/>
      </c>
      <c r="F49" s="7"/>
      <c r="G49" s="7"/>
      <c r="H49" s="48"/>
      <c r="I49" s="48" t="str">
        <f t="shared" si="12"/>
        <v/>
      </c>
      <c r="J49" s="104" t="str">
        <f t="shared" si="13"/>
        <v/>
      </c>
      <c r="K49" s="30" t="str">
        <f t="shared" si="14"/>
        <v/>
      </c>
      <c r="L49" s="30" t="str">
        <f t="shared" si="15"/>
        <v/>
      </c>
      <c r="M49" s="4"/>
      <c r="N49" s="4"/>
    </row>
    <row r="50" spans="2:14" ht="21" customHeight="1" x14ac:dyDescent="0.25">
      <c r="F50" s="126"/>
      <c r="H50" s="1"/>
      <c r="I50" s="30"/>
    </row>
    <row r="51" spans="2:14" ht="21" customHeight="1" x14ac:dyDescent="0.25">
      <c r="C51" s="127" t="s">
        <v>86</v>
      </c>
    </row>
    <row r="52" spans="2:14" ht="21" customHeight="1" x14ac:dyDescent="0.25">
      <c r="C52" s="127" t="s">
        <v>87</v>
      </c>
    </row>
    <row r="53" spans="2:14" ht="21" customHeight="1" x14ac:dyDescent="0.25">
      <c r="C53" s="127" t="s">
        <v>88</v>
      </c>
    </row>
    <row r="54" spans="2:14" ht="21" customHeight="1" x14ac:dyDescent="0.25">
      <c r="C54" s="127" t="s">
        <v>89</v>
      </c>
    </row>
    <row r="55" spans="2:14" ht="21" customHeight="1" x14ac:dyDescent="0.25">
      <c r="C55" s="127" t="s">
        <v>90</v>
      </c>
    </row>
  </sheetData>
  <dataValidations disablePrompts="1" count="2">
    <dataValidation type="list" allowBlank="1" showInputMessage="1" showErrorMessage="1" sqref="B2" xr:uid="{00000000-0002-0000-0000-000000000000}">
      <formula1>panel_choices</formula1>
    </dataValidation>
    <dataValidation type="list" allowBlank="1" showInputMessage="1" showErrorMessage="1" sqref="C2" xr:uid="{00000000-0002-0000-0000-000001000000}">
      <formula1>combiner_choices</formula1>
    </dataValidation>
  </dataValidations>
  <hyperlinks>
    <hyperlink ref="M37" r:id="rId1" display="https://www.amazon.com/gp/product/B00LIB8BG0?th=1" xr:uid="{00000000-0004-0000-0000-000000000000}"/>
    <hyperlink ref="M38" r:id="rId2" display="https://www.amazon.com/dp/B016N6YREY" xr:uid="{00000000-0004-0000-0000-000001000000}"/>
    <hyperlink ref="M39" r:id="rId3" display="https://www.ebay.com/itm/282166106920" xr:uid="{00000000-0004-0000-0000-000002000000}"/>
    <hyperlink ref="M40" r:id="rId4" display="https://www.ebay.com/itm/282166106920" xr:uid="{00000000-0004-0000-0000-000003000000}"/>
    <hyperlink ref="M41" r:id="rId5" display="https://www.ebay.com/itm/282166118341" xr:uid="{00000000-0004-0000-0000-000004000000}"/>
    <hyperlink ref="M42" r:id="rId6" display="https://www.ebay.com/itm/385037392892" xr:uid="{00000000-0004-0000-0000-000005000000}"/>
    <hyperlink ref="M43" r:id="rId7" display="https://www.ebay.com/itm/385037392892" xr:uid="{00000000-0004-0000-0000-000006000000}"/>
    <hyperlink ref="M44" r:id="rId8" display="https://powerwerx.com/red-black-bonded-zip-cord" xr:uid="{00000000-0004-0000-0000-000007000000}"/>
    <hyperlink ref="M45" r:id="rId9" display="https://www.amazon.com/dp/B0015XNBJS" xr:uid="{00000000-0004-0000-0000-000008000000}"/>
    <hyperlink ref="M46" r:id="rId10" display="https://www.ebay.com/itm/251445397055"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50"/>
  <sheetViews>
    <sheetView workbookViewId="0">
      <selection activeCell="F5" sqref="F5"/>
    </sheetView>
  </sheetViews>
  <sheetFormatPr baseColWidth="10" defaultColWidth="15.83203125" defaultRowHeight="21" customHeight="1" x14ac:dyDescent="0.25"/>
  <cols>
    <col min="1" max="1" width="3.83203125" style="1" customWidth="1"/>
    <col min="2" max="16384" width="15.83203125" style="1"/>
  </cols>
  <sheetData>
    <row r="2" spans="2:13" ht="21" customHeight="1" x14ac:dyDescent="0.25">
      <c r="B2" s="227" t="s">
        <v>174</v>
      </c>
    </row>
    <row r="4" spans="2:13" ht="22" customHeight="1" thickBot="1" x14ac:dyDescent="0.3"/>
    <row r="5" spans="2:13" ht="22" customHeight="1" thickBot="1" x14ac:dyDescent="0.3">
      <c r="B5" s="1" t="s">
        <v>175</v>
      </c>
      <c r="C5" s="320">
        <v>13.8</v>
      </c>
      <c r="E5" s="1" t="s">
        <v>176</v>
      </c>
      <c r="F5" s="323">
        <f>VLOOKUP(C6,copper_wire_table,4,FALSE)</f>
        <v>9.9859555013715341E-4</v>
      </c>
      <c r="H5" s="7" t="s">
        <v>177</v>
      </c>
      <c r="I5" s="317">
        <v>10</v>
      </c>
      <c r="K5" s="1" t="s">
        <v>178</v>
      </c>
      <c r="L5" s="324">
        <v>10</v>
      </c>
    </row>
    <row r="6" spans="2:13" ht="22" customHeight="1" thickBot="1" x14ac:dyDescent="0.3">
      <c r="B6" s="1" t="s">
        <v>179</v>
      </c>
      <c r="C6" s="319">
        <v>10</v>
      </c>
      <c r="E6" s="1" t="s">
        <v>180</v>
      </c>
      <c r="F6" s="323">
        <f>VLOOKUP(C6,copper_wire_table,11,FALSE)</f>
        <v>2.701615361170375E-3</v>
      </c>
      <c r="I6" s="318">
        <v>25</v>
      </c>
      <c r="L6" s="324">
        <v>30</v>
      </c>
    </row>
    <row r="9" spans="2:13" ht="21" customHeight="1" x14ac:dyDescent="0.25">
      <c r="B9" s="325" t="s">
        <v>181</v>
      </c>
      <c r="C9" s="326" t="s">
        <v>159</v>
      </c>
      <c r="D9" s="327">
        <f>$I$5</f>
        <v>10</v>
      </c>
      <c r="F9" s="326" t="s">
        <v>159</v>
      </c>
      <c r="G9" s="327">
        <f>$I$6</f>
        <v>25</v>
      </c>
      <c r="I9" s="326" t="s">
        <v>159</v>
      </c>
      <c r="J9" s="327">
        <f>$I$5</f>
        <v>10</v>
      </c>
      <c r="L9" s="326" t="s">
        <v>159</v>
      </c>
      <c r="M9" s="327">
        <f>$I$6</f>
        <v>25</v>
      </c>
    </row>
    <row r="10" spans="2:13" ht="21" customHeight="1" x14ac:dyDescent="0.25">
      <c r="C10" s="328" t="s">
        <v>161</v>
      </c>
      <c r="D10" s="329">
        <f>$C$6</f>
        <v>10</v>
      </c>
      <c r="F10" s="328" t="s">
        <v>161</v>
      </c>
      <c r="G10" s="329">
        <f>$C$6</f>
        <v>10</v>
      </c>
      <c r="I10" s="328" t="s">
        <v>161</v>
      </c>
      <c r="J10" s="329">
        <f>$C$6</f>
        <v>10</v>
      </c>
      <c r="L10" s="328" t="s">
        <v>161</v>
      </c>
      <c r="M10" s="329">
        <f>$C$6</f>
        <v>10</v>
      </c>
    </row>
    <row r="11" spans="2:13" ht="21" customHeight="1" x14ac:dyDescent="0.25">
      <c r="C11" s="328" t="s">
        <v>99</v>
      </c>
      <c r="D11" s="330">
        <f>$C$5</f>
        <v>13.8</v>
      </c>
      <c r="F11" s="328" t="s">
        <v>99</v>
      </c>
      <c r="G11" s="330">
        <f>$C$5</f>
        <v>13.8</v>
      </c>
      <c r="I11" s="328" t="s">
        <v>99</v>
      </c>
      <c r="J11" s="330">
        <f>$C$5</f>
        <v>13.8</v>
      </c>
      <c r="L11" s="328" t="s">
        <v>99</v>
      </c>
      <c r="M11" s="330">
        <f>$C$5</f>
        <v>13.8</v>
      </c>
    </row>
    <row r="12" spans="2:13" ht="21" customHeight="1" x14ac:dyDescent="0.25">
      <c r="C12" s="328" t="s">
        <v>178</v>
      </c>
      <c r="D12" s="331">
        <f>$L$5</f>
        <v>10</v>
      </c>
      <c r="F12" s="328" t="s">
        <v>178</v>
      </c>
      <c r="G12" s="331">
        <f>$L$5</f>
        <v>10</v>
      </c>
      <c r="I12" s="328" t="s">
        <v>178</v>
      </c>
      <c r="J12" s="331">
        <f>$L$6</f>
        <v>30</v>
      </c>
      <c r="L12" s="328" t="s">
        <v>178</v>
      </c>
      <c r="M12" s="331">
        <f>$L$6</f>
        <v>30</v>
      </c>
    </row>
    <row r="13" spans="2:13" ht="21" customHeight="1" x14ac:dyDescent="0.25">
      <c r="C13" s="328"/>
      <c r="D13" s="330"/>
      <c r="F13" s="328"/>
      <c r="G13" s="330"/>
      <c r="I13" s="328"/>
      <c r="J13" s="330"/>
      <c r="L13" s="328"/>
      <c r="M13" s="330"/>
    </row>
    <row r="14" spans="2:13" ht="21" customHeight="1" x14ac:dyDescent="0.25">
      <c r="C14" s="328" t="s">
        <v>160</v>
      </c>
      <c r="D14" s="330">
        <f>D11/D12</f>
        <v>1.3800000000000001</v>
      </c>
      <c r="F14" s="328" t="s">
        <v>160</v>
      </c>
      <c r="G14" s="330">
        <f>G11/G12</f>
        <v>1.3800000000000001</v>
      </c>
      <c r="I14" s="328" t="s">
        <v>160</v>
      </c>
      <c r="J14" s="330">
        <f>J11/J12</f>
        <v>0.46</v>
      </c>
      <c r="L14" s="328" t="s">
        <v>160</v>
      </c>
      <c r="M14" s="330">
        <f>M11/M12</f>
        <v>0.46</v>
      </c>
    </row>
    <row r="15" spans="2:13" ht="21" customHeight="1" x14ac:dyDescent="0.25">
      <c r="C15" s="328"/>
      <c r="D15" s="330"/>
      <c r="F15" s="328"/>
      <c r="G15" s="330"/>
      <c r="I15" s="328"/>
      <c r="J15" s="330"/>
      <c r="L15" s="328"/>
      <c r="M15" s="330"/>
    </row>
    <row r="16" spans="2:13" ht="21" customHeight="1" x14ac:dyDescent="0.25">
      <c r="C16" s="328" t="s">
        <v>182</v>
      </c>
      <c r="D16" s="332">
        <f>$F$5</f>
        <v>9.9859555013715341E-4</v>
      </c>
      <c r="F16" s="328" t="s">
        <v>182</v>
      </c>
      <c r="G16" s="332">
        <f>$F$5</f>
        <v>9.9859555013715341E-4</v>
      </c>
      <c r="I16" s="328" t="s">
        <v>182</v>
      </c>
      <c r="J16" s="332">
        <f>$F$5</f>
        <v>9.9859555013715341E-4</v>
      </c>
      <c r="L16" s="328" t="s">
        <v>182</v>
      </c>
      <c r="M16" s="332">
        <f>$F$5</f>
        <v>9.9859555013715341E-4</v>
      </c>
    </row>
    <row r="17" spans="2:13" ht="21" customHeight="1" x14ac:dyDescent="0.25">
      <c r="C17" s="328" t="s">
        <v>163</v>
      </c>
      <c r="D17" s="333">
        <f>D16*D9*2</f>
        <v>1.9971911002743068E-2</v>
      </c>
      <c r="F17" s="328" t="s">
        <v>163</v>
      </c>
      <c r="G17" s="333">
        <f>G16*G9*2</f>
        <v>4.9929777506857669E-2</v>
      </c>
      <c r="I17" s="328" t="s">
        <v>163</v>
      </c>
      <c r="J17" s="333">
        <f>J16*J9*2</f>
        <v>1.9971911002743068E-2</v>
      </c>
      <c r="L17" s="328" t="s">
        <v>163</v>
      </c>
      <c r="M17" s="333">
        <f>M16*M9*2</f>
        <v>4.9929777506857669E-2</v>
      </c>
    </row>
    <row r="18" spans="2:13" ht="21" customHeight="1" x14ac:dyDescent="0.25">
      <c r="C18" s="328"/>
      <c r="D18" s="330"/>
      <c r="F18" s="328"/>
      <c r="G18" s="330"/>
      <c r="I18" s="328"/>
      <c r="J18" s="330"/>
      <c r="L18" s="328"/>
      <c r="M18" s="330"/>
    </row>
    <row r="19" spans="2:13" ht="21" customHeight="1" x14ac:dyDescent="0.25">
      <c r="C19" s="328" t="s">
        <v>164</v>
      </c>
      <c r="D19" s="330">
        <f>D14+D17</f>
        <v>1.3999719110027431</v>
      </c>
      <c r="F19" s="328" t="s">
        <v>164</v>
      </c>
      <c r="G19" s="330">
        <f>G14+G17</f>
        <v>1.4299297775068578</v>
      </c>
      <c r="I19" s="328" t="s">
        <v>164</v>
      </c>
      <c r="J19" s="330">
        <f>J14+J17</f>
        <v>0.47997191100274311</v>
      </c>
      <c r="L19" s="328" t="s">
        <v>164</v>
      </c>
      <c r="M19" s="330">
        <f>M14+M17</f>
        <v>0.50992977750685764</v>
      </c>
    </row>
    <row r="20" spans="2:13" ht="21" customHeight="1" x14ac:dyDescent="0.25">
      <c r="C20" s="328" t="s">
        <v>101</v>
      </c>
      <c r="D20" s="330">
        <f>D11/D19</f>
        <v>9.8573406305813815</v>
      </c>
      <c r="F20" s="328" t="s">
        <v>101</v>
      </c>
      <c r="G20" s="330">
        <f>G11/G19</f>
        <v>9.6508235698545111</v>
      </c>
      <c r="I20" s="328" t="s">
        <v>101</v>
      </c>
      <c r="J20" s="330">
        <f>J11/J19</f>
        <v>28.751682512356712</v>
      </c>
      <c r="L20" s="328" t="s">
        <v>101</v>
      </c>
      <c r="M20" s="330">
        <f>M11/M19</f>
        <v>27.062549803368594</v>
      </c>
    </row>
    <row r="21" spans="2:13" ht="21" customHeight="1" x14ac:dyDescent="0.25">
      <c r="C21" s="328" t="s">
        <v>104</v>
      </c>
      <c r="D21" s="330">
        <f>D11*D20</f>
        <v>136.03130070202306</v>
      </c>
      <c r="F21" s="328" t="s">
        <v>104</v>
      </c>
      <c r="G21" s="330">
        <f>G11*G20</f>
        <v>133.18136526399226</v>
      </c>
      <c r="I21" s="328" t="s">
        <v>104</v>
      </c>
      <c r="J21" s="330">
        <f>J11*J20</f>
        <v>396.77321867052262</v>
      </c>
      <c r="L21" s="328" t="s">
        <v>104</v>
      </c>
      <c r="M21" s="330">
        <f>M11*M20</f>
        <v>373.46318728648663</v>
      </c>
    </row>
    <row r="22" spans="2:13" ht="21" customHeight="1" x14ac:dyDescent="0.25">
      <c r="C22" s="328"/>
      <c r="D22" s="330"/>
      <c r="F22" s="328"/>
      <c r="G22" s="330"/>
      <c r="I22" s="328"/>
      <c r="J22" s="330"/>
      <c r="L22" s="328"/>
      <c r="M22" s="330"/>
    </row>
    <row r="23" spans="2:13" ht="21" customHeight="1" x14ac:dyDescent="0.25">
      <c r="C23" s="328" t="s">
        <v>166</v>
      </c>
      <c r="D23" s="330">
        <f>D20*D17</f>
        <v>0.19686992979769458</v>
      </c>
      <c r="F23" s="328" t="s">
        <v>166</v>
      </c>
      <c r="G23" s="330">
        <f>G20*G17</f>
        <v>0.48186347360077358</v>
      </c>
      <c r="I23" s="328" t="s">
        <v>166</v>
      </c>
      <c r="J23" s="330">
        <f>J20*J17</f>
        <v>0.57422604431591251</v>
      </c>
      <c r="L23" s="328" t="s">
        <v>166</v>
      </c>
      <c r="M23" s="330">
        <f>M20*M17</f>
        <v>1.3512270904504486</v>
      </c>
    </row>
    <row r="24" spans="2:13" ht="21" customHeight="1" x14ac:dyDescent="0.25">
      <c r="C24" s="328" t="s">
        <v>168</v>
      </c>
      <c r="D24" s="330">
        <f>D20*D14</f>
        <v>13.603130070202308</v>
      </c>
      <c r="F24" s="328" t="s">
        <v>168</v>
      </c>
      <c r="G24" s="330">
        <f>G20*G14</f>
        <v>13.318136526399226</v>
      </c>
      <c r="I24" s="328" t="s">
        <v>168</v>
      </c>
      <c r="J24" s="330">
        <f>J20*J14</f>
        <v>13.225773955684089</v>
      </c>
      <c r="L24" s="328" t="s">
        <v>168</v>
      </c>
      <c r="M24" s="330">
        <f>M20*M14</f>
        <v>12.448772909549554</v>
      </c>
    </row>
    <row r="25" spans="2:13" ht="21" customHeight="1" x14ac:dyDescent="0.25">
      <c r="C25" s="328"/>
      <c r="D25" s="330"/>
      <c r="F25" s="328"/>
      <c r="G25" s="330"/>
      <c r="I25" s="328"/>
      <c r="J25" s="330"/>
      <c r="L25" s="328"/>
      <c r="M25" s="330"/>
    </row>
    <row r="26" spans="2:13" ht="21" customHeight="1" x14ac:dyDescent="0.25">
      <c r="C26" s="328" t="s">
        <v>167</v>
      </c>
      <c r="D26" s="330">
        <f>D23*D20</f>
        <v>1.940613957934519</v>
      </c>
      <c r="F26" s="328" t="s">
        <v>167</v>
      </c>
      <c r="G26" s="330">
        <f>G23*G20</f>
        <v>4.6503793684783128</v>
      </c>
      <c r="I26" s="328" t="s">
        <v>167</v>
      </c>
      <c r="J26" s="330">
        <f>J23*J20</f>
        <v>16.509964916497591</v>
      </c>
      <c r="L26" s="328" t="s">
        <v>167</v>
      </c>
      <c r="M26" s="330">
        <f>M23*M20</f>
        <v>36.567650430976109</v>
      </c>
    </row>
    <row r="27" spans="2:13" ht="21" customHeight="1" x14ac:dyDescent="0.25">
      <c r="C27" s="328" t="s">
        <v>169</v>
      </c>
      <c r="D27" s="334">
        <f>D24*D20</f>
        <v>134.09068674408857</v>
      </c>
      <c r="F27" s="328" t="s">
        <v>169</v>
      </c>
      <c r="G27" s="334">
        <f>G24*G20</f>
        <v>128.53098589551394</v>
      </c>
      <c r="I27" s="328" t="s">
        <v>169</v>
      </c>
      <c r="J27" s="335">
        <f>J24*J20</f>
        <v>380.26325375402507</v>
      </c>
      <c r="L27" s="328" t="s">
        <v>169</v>
      </c>
      <c r="M27" s="335">
        <f>M24*M20</f>
        <v>336.89553685551056</v>
      </c>
    </row>
    <row r="28" spans="2:13" ht="21" customHeight="1" x14ac:dyDescent="0.25">
      <c r="C28" s="336" t="s">
        <v>170</v>
      </c>
      <c r="D28" s="337">
        <f>D27/D21</f>
        <v>0.98573406305813827</v>
      </c>
      <c r="F28" s="336" t="s">
        <v>170</v>
      </c>
      <c r="G28" s="337">
        <f>G27/G21</f>
        <v>0.96508235698545108</v>
      </c>
      <c r="I28" s="336" t="s">
        <v>170</v>
      </c>
      <c r="J28" s="337">
        <f>J27/J21</f>
        <v>0.95838941707855718</v>
      </c>
      <c r="L28" s="336" t="s">
        <v>170</v>
      </c>
      <c r="M28" s="337">
        <f>M27/M21</f>
        <v>0.90208499344561976</v>
      </c>
    </row>
    <row r="29" spans="2:13" ht="21" customHeight="1" x14ac:dyDescent="0.25">
      <c r="D29" s="302"/>
      <c r="G29" s="302"/>
      <c r="J29" s="302"/>
      <c r="M29" s="302"/>
    </row>
    <row r="31" spans="2:13" ht="21" customHeight="1" x14ac:dyDescent="0.25">
      <c r="B31" s="325" t="s">
        <v>183</v>
      </c>
      <c r="C31" s="326" t="s">
        <v>159</v>
      </c>
      <c r="D31" s="327">
        <f>$I$5</f>
        <v>10</v>
      </c>
      <c r="F31" s="326" t="s">
        <v>159</v>
      </c>
      <c r="G31" s="327">
        <f>$I$6</f>
        <v>25</v>
      </c>
      <c r="I31" s="326" t="s">
        <v>159</v>
      </c>
      <c r="J31" s="327">
        <f>$I$5</f>
        <v>10</v>
      </c>
      <c r="L31" s="326" t="s">
        <v>159</v>
      </c>
      <c r="M31" s="327">
        <f>$I$6</f>
        <v>25</v>
      </c>
    </row>
    <row r="32" spans="2:13" ht="21" customHeight="1" x14ac:dyDescent="0.25">
      <c r="C32" s="328" t="s">
        <v>161</v>
      </c>
      <c r="D32" s="329">
        <f>$C$6</f>
        <v>10</v>
      </c>
      <c r="F32" s="328" t="s">
        <v>161</v>
      </c>
      <c r="G32" s="329">
        <f>$C$6</f>
        <v>10</v>
      </c>
      <c r="I32" s="328" t="s">
        <v>161</v>
      </c>
      <c r="J32" s="329">
        <f>$C$6</f>
        <v>10</v>
      </c>
      <c r="L32" s="328" t="s">
        <v>161</v>
      </c>
      <c r="M32" s="329">
        <f>$C$6</f>
        <v>10</v>
      </c>
    </row>
    <row r="33" spans="3:13" ht="21" customHeight="1" x14ac:dyDescent="0.25">
      <c r="C33" s="328" t="s">
        <v>99</v>
      </c>
      <c r="D33" s="330">
        <f>$C$5</f>
        <v>13.8</v>
      </c>
      <c r="F33" s="328" t="s">
        <v>99</v>
      </c>
      <c r="G33" s="330">
        <f>$C$5</f>
        <v>13.8</v>
      </c>
      <c r="I33" s="328" t="s">
        <v>99</v>
      </c>
      <c r="J33" s="330">
        <f>$C$5</f>
        <v>13.8</v>
      </c>
      <c r="L33" s="328" t="s">
        <v>99</v>
      </c>
      <c r="M33" s="330">
        <f>$C$5</f>
        <v>13.8</v>
      </c>
    </row>
    <row r="34" spans="3:13" ht="21" customHeight="1" x14ac:dyDescent="0.25">
      <c r="C34" s="328" t="s">
        <v>178</v>
      </c>
      <c r="D34" s="331">
        <f>$L$5</f>
        <v>10</v>
      </c>
      <c r="F34" s="328" t="s">
        <v>178</v>
      </c>
      <c r="G34" s="331">
        <f>$L$5</f>
        <v>10</v>
      </c>
      <c r="I34" s="328" t="s">
        <v>178</v>
      </c>
      <c r="J34" s="331">
        <f>$L$6</f>
        <v>30</v>
      </c>
      <c r="L34" s="328" t="s">
        <v>178</v>
      </c>
      <c r="M34" s="331">
        <f>$L$6</f>
        <v>30</v>
      </c>
    </row>
    <row r="35" spans="3:13" ht="21" customHeight="1" x14ac:dyDescent="0.25">
      <c r="C35" s="328"/>
      <c r="D35" s="330"/>
      <c r="F35" s="328"/>
      <c r="G35" s="330"/>
      <c r="I35" s="328"/>
      <c r="J35" s="330"/>
      <c r="L35" s="328"/>
      <c r="M35" s="330"/>
    </row>
    <row r="36" spans="3:13" ht="21" customHeight="1" x14ac:dyDescent="0.25">
      <c r="C36" s="328" t="s">
        <v>160</v>
      </c>
      <c r="D36" s="330">
        <f>D33/D34</f>
        <v>1.3800000000000001</v>
      </c>
      <c r="F36" s="328" t="s">
        <v>160</v>
      </c>
      <c r="G36" s="330">
        <f>G33/G34</f>
        <v>1.3800000000000001</v>
      </c>
      <c r="I36" s="328" t="s">
        <v>160</v>
      </c>
      <c r="J36" s="330">
        <f>J33/J34</f>
        <v>0.46</v>
      </c>
      <c r="L36" s="328" t="s">
        <v>160</v>
      </c>
      <c r="M36" s="330">
        <f>M33/M34</f>
        <v>0.46</v>
      </c>
    </row>
    <row r="37" spans="3:13" ht="21" customHeight="1" x14ac:dyDescent="0.25">
      <c r="C37" s="328"/>
      <c r="D37" s="330"/>
      <c r="F37" s="328"/>
      <c r="G37" s="330"/>
      <c r="I37" s="328"/>
      <c r="J37" s="330"/>
      <c r="L37" s="328"/>
      <c r="M37" s="330"/>
    </row>
    <row r="38" spans="3:13" ht="21" customHeight="1" x14ac:dyDescent="0.25">
      <c r="C38" s="328" t="s">
        <v>182</v>
      </c>
      <c r="D38" s="332">
        <f>$F$6</f>
        <v>2.701615361170375E-3</v>
      </c>
      <c r="F38" s="328" t="s">
        <v>182</v>
      </c>
      <c r="G38" s="332">
        <f>$F$6</f>
        <v>2.701615361170375E-3</v>
      </c>
      <c r="I38" s="328" t="s">
        <v>182</v>
      </c>
      <c r="J38" s="332">
        <f>$F$6</f>
        <v>2.701615361170375E-3</v>
      </c>
      <c r="L38" s="328" t="s">
        <v>182</v>
      </c>
      <c r="M38" s="332">
        <f>$F$6</f>
        <v>2.701615361170375E-3</v>
      </c>
    </row>
    <row r="39" spans="3:13" ht="21" customHeight="1" x14ac:dyDescent="0.25">
      <c r="C39" s="328" t="s">
        <v>163</v>
      </c>
      <c r="D39" s="333">
        <f>D38*D31*2</f>
        <v>5.4032307223407502E-2</v>
      </c>
      <c r="F39" s="328" t="s">
        <v>163</v>
      </c>
      <c r="G39" s="333">
        <f>G38*G31*2</f>
        <v>0.13508076805851874</v>
      </c>
      <c r="I39" s="328" t="s">
        <v>163</v>
      </c>
      <c r="J39" s="333">
        <f>J38*J31*2</f>
        <v>5.4032307223407502E-2</v>
      </c>
      <c r="L39" s="328" t="s">
        <v>163</v>
      </c>
      <c r="M39" s="333">
        <f>M38*M31*2</f>
        <v>0.13508076805851874</v>
      </c>
    </row>
    <row r="40" spans="3:13" ht="21" customHeight="1" x14ac:dyDescent="0.25">
      <c r="C40" s="328"/>
      <c r="D40" s="330"/>
      <c r="F40" s="328"/>
      <c r="G40" s="330"/>
      <c r="I40" s="328"/>
      <c r="J40" s="330"/>
      <c r="L40" s="328"/>
      <c r="M40" s="330"/>
    </row>
    <row r="41" spans="3:13" ht="21" customHeight="1" x14ac:dyDescent="0.25">
      <c r="C41" s="328" t="s">
        <v>164</v>
      </c>
      <c r="D41" s="330">
        <f>D36+D39</f>
        <v>1.4340323072234076</v>
      </c>
      <c r="F41" s="328" t="s">
        <v>164</v>
      </c>
      <c r="G41" s="330">
        <f>G36+G39</f>
        <v>1.5150807680585188</v>
      </c>
      <c r="I41" s="328" t="s">
        <v>164</v>
      </c>
      <c r="J41" s="330">
        <f>J36+J39</f>
        <v>0.51403230722340754</v>
      </c>
      <c r="L41" s="328" t="s">
        <v>164</v>
      </c>
      <c r="M41" s="330">
        <f>M36+M39</f>
        <v>0.59508076805851873</v>
      </c>
    </row>
    <row r="42" spans="3:13" ht="21" customHeight="1" x14ac:dyDescent="0.25">
      <c r="C42" s="328" t="s">
        <v>101</v>
      </c>
      <c r="D42" s="330">
        <f>D33/D41</f>
        <v>9.6232141566738783</v>
      </c>
      <c r="F42" s="328" t="s">
        <v>101</v>
      </c>
      <c r="G42" s="330">
        <f>G33/G41</f>
        <v>9.1084253004437752</v>
      </c>
      <c r="I42" s="328" t="s">
        <v>101</v>
      </c>
      <c r="J42" s="330">
        <f>J33/J41</f>
        <v>26.846561599487707</v>
      </c>
      <c r="L42" s="328" t="s">
        <v>101</v>
      </c>
      <c r="M42" s="330">
        <f>M33/M41</f>
        <v>23.190129375249686</v>
      </c>
    </row>
    <row r="43" spans="3:13" ht="21" customHeight="1" x14ac:dyDescent="0.25">
      <c r="C43" s="328" t="s">
        <v>104</v>
      </c>
      <c r="D43" s="330">
        <f>D33*D42</f>
        <v>132.80035536209954</v>
      </c>
      <c r="F43" s="328" t="s">
        <v>104</v>
      </c>
      <c r="G43" s="330">
        <f>G33*G42</f>
        <v>125.69626914612411</v>
      </c>
      <c r="I43" s="328" t="s">
        <v>104</v>
      </c>
      <c r="J43" s="330">
        <f>J33*J42</f>
        <v>370.48255007293039</v>
      </c>
      <c r="L43" s="328" t="s">
        <v>104</v>
      </c>
      <c r="M43" s="330">
        <f>M33*M42</f>
        <v>320.02378537844567</v>
      </c>
    </row>
    <row r="44" spans="3:13" ht="21" customHeight="1" x14ac:dyDescent="0.25">
      <c r="C44" s="328"/>
      <c r="D44" s="330"/>
      <c r="F44" s="328"/>
      <c r="G44" s="330"/>
      <c r="I44" s="328"/>
      <c r="J44" s="330"/>
      <c r="L44" s="328"/>
      <c r="M44" s="330"/>
    </row>
    <row r="45" spans="3:13" ht="21" customHeight="1" x14ac:dyDescent="0.25">
      <c r="C45" s="328" t="s">
        <v>166</v>
      </c>
      <c r="D45" s="330">
        <f>D42*D39</f>
        <v>0.51996446379004735</v>
      </c>
      <c r="F45" s="328" t="s">
        <v>166</v>
      </c>
      <c r="G45" s="330">
        <f>G42*G39</f>
        <v>1.2303730853875894</v>
      </c>
      <c r="I45" s="328" t="s">
        <v>166</v>
      </c>
      <c r="J45" s="330">
        <f>J42*J39</f>
        <v>1.4505816642356542</v>
      </c>
      <c r="L45" s="328" t="s">
        <v>166</v>
      </c>
      <c r="M45" s="330">
        <f>M42*M39</f>
        <v>3.1325404873851448</v>
      </c>
    </row>
    <row r="46" spans="3:13" ht="21" customHeight="1" x14ac:dyDescent="0.25">
      <c r="C46" s="328" t="s">
        <v>168</v>
      </c>
      <c r="D46" s="330">
        <f>D42*D36</f>
        <v>13.280035536209953</v>
      </c>
      <c r="F46" s="328" t="s">
        <v>168</v>
      </c>
      <c r="G46" s="330">
        <f>G42*G36</f>
        <v>12.56962691461241</v>
      </c>
      <c r="I46" s="328" t="s">
        <v>168</v>
      </c>
      <c r="J46" s="330">
        <f>J42*J36</f>
        <v>12.349418335764346</v>
      </c>
      <c r="L46" s="328" t="s">
        <v>168</v>
      </c>
      <c r="M46" s="330">
        <f>M42*M36</f>
        <v>10.667459512614856</v>
      </c>
    </row>
    <row r="47" spans="3:13" ht="21" customHeight="1" x14ac:dyDescent="0.25">
      <c r="C47" s="328"/>
      <c r="D47" s="330"/>
      <c r="F47" s="328"/>
      <c r="G47" s="330"/>
      <c r="I47" s="328"/>
      <c r="J47" s="330"/>
      <c r="L47" s="328"/>
      <c r="M47" s="330"/>
    </row>
    <row r="48" spans="3:13" ht="21" customHeight="1" x14ac:dyDescent="0.25">
      <c r="C48" s="328" t="s">
        <v>167</v>
      </c>
      <c r="D48" s="330">
        <f>D45*D42</f>
        <v>5.0037293889117258</v>
      </c>
      <c r="F48" s="328" t="s">
        <v>167</v>
      </c>
      <c r="G48" s="330">
        <f>G45*G42</f>
        <v>11.206761339929388</v>
      </c>
      <c r="I48" s="328" t="s">
        <v>167</v>
      </c>
      <c r="J48" s="330">
        <f>J45*J42</f>
        <v>38.943130003989886</v>
      </c>
      <c r="L48" s="328" t="s">
        <v>167</v>
      </c>
      <c r="M48" s="330">
        <f>M45*M42</f>
        <v>72.644019175669214</v>
      </c>
    </row>
    <row r="49" spans="3:13" ht="21" customHeight="1" x14ac:dyDescent="0.25">
      <c r="C49" s="328" t="s">
        <v>169</v>
      </c>
      <c r="D49" s="334">
        <f>D46*D42</f>
        <v>127.7966259731878</v>
      </c>
      <c r="F49" s="328" t="s">
        <v>169</v>
      </c>
      <c r="G49" s="334">
        <f>G46*G42</f>
        <v>114.48950780619471</v>
      </c>
      <c r="I49" s="328" t="s">
        <v>169</v>
      </c>
      <c r="J49" s="335">
        <f>J46*J42</f>
        <v>331.5394200689405</v>
      </c>
      <c r="L49" s="328" t="s">
        <v>169</v>
      </c>
      <c r="M49" s="335">
        <f>M46*M42</f>
        <v>247.37976620277649</v>
      </c>
    </row>
    <row r="50" spans="3:13" ht="21" customHeight="1" x14ac:dyDescent="0.25">
      <c r="C50" s="336" t="s">
        <v>170</v>
      </c>
      <c r="D50" s="337">
        <f>D49/D43</f>
        <v>0.96232141566738783</v>
      </c>
      <c r="F50" s="336" t="s">
        <v>170</v>
      </c>
      <c r="G50" s="337">
        <f>G49/G43</f>
        <v>0.91084253004437754</v>
      </c>
      <c r="I50" s="336" t="s">
        <v>170</v>
      </c>
      <c r="J50" s="337">
        <f>J49/J43</f>
        <v>0.89488538664959028</v>
      </c>
      <c r="L50" s="336" t="s">
        <v>170</v>
      </c>
      <c r="M50" s="337">
        <f>M49/M43</f>
        <v>0.77300431250832302</v>
      </c>
    </row>
  </sheetData>
  <dataValidations count="1">
    <dataValidation type="list" allowBlank="1" showInputMessage="1" showErrorMessage="1" sqref="C6" xr:uid="{00000000-0002-0000-0700-000000000000}">
      <formula1>copper_wire_choices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V38"/>
  <sheetViews>
    <sheetView workbookViewId="0">
      <selection activeCell="B28" sqref="B28"/>
    </sheetView>
  </sheetViews>
  <sheetFormatPr baseColWidth="10" defaultColWidth="15.83203125" defaultRowHeight="21" customHeight="1" x14ac:dyDescent="0.25"/>
  <cols>
    <col min="1" max="1" width="3.83203125" style="1" customWidth="1"/>
    <col min="2" max="10" width="15.83203125" style="1"/>
    <col min="11" max="12" width="15.83203125" style="7"/>
    <col min="13" max="13" width="3.83203125" style="7" customWidth="1"/>
    <col min="14" max="22" width="15.83203125" style="7"/>
    <col min="23" max="16384" width="15.83203125" style="1"/>
  </cols>
  <sheetData>
    <row r="2" spans="2:20" ht="21" customHeight="1" x14ac:dyDescent="0.25">
      <c r="B2" s="227" t="s">
        <v>184</v>
      </c>
    </row>
    <row r="3" spans="2:20" ht="21" customHeight="1" x14ac:dyDescent="0.25">
      <c r="B3" s="227"/>
    </row>
    <row r="5" spans="2:20" ht="21" customHeight="1" x14ac:dyDescent="0.25">
      <c r="B5" s="1" t="s">
        <v>101</v>
      </c>
      <c r="C5" s="1">
        <v>20</v>
      </c>
      <c r="E5" s="1" t="s">
        <v>185</v>
      </c>
    </row>
    <row r="6" spans="2:20" ht="21" customHeight="1" x14ac:dyDescent="0.25">
      <c r="B6" s="1" t="s">
        <v>99</v>
      </c>
      <c r="C6" s="1">
        <v>13.8</v>
      </c>
      <c r="E6" s="1" t="s">
        <v>186</v>
      </c>
    </row>
    <row r="7" spans="2:20" ht="21" customHeight="1" x14ac:dyDescent="0.25">
      <c r="B7" s="1" t="s">
        <v>104</v>
      </c>
      <c r="C7" s="1">
        <f>C5*C6</f>
        <v>276</v>
      </c>
      <c r="E7" s="1" t="s">
        <v>187</v>
      </c>
      <c r="H7" s="7"/>
    </row>
    <row r="8" spans="2:20" ht="21" customHeight="1" x14ac:dyDescent="0.25">
      <c r="B8" s="1" t="s">
        <v>164</v>
      </c>
      <c r="C8" s="1">
        <f>C6/C5</f>
        <v>0.69000000000000006</v>
      </c>
      <c r="H8" s="7"/>
      <c r="M8" s="1"/>
      <c r="N8" s="17" t="s">
        <v>188</v>
      </c>
    </row>
    <row r="9" spans="2:20" ht="22" customHeight="1" thickBot="1" x14ac:dyDescent="0.3">
      <c r="B9" s="1" t="s">
        <v>159</v>
      </c>
      <c r="C9" s="5">
        <v>6</v>
      </c>
      <c r="E9" s="1" t="s">
        <v>189</v>
      </c>
      <c r="H9" s="7"/>
      <c r="M9" s="17"/>
    </row>
    <row r="10" spans="2:20" ht="21" customHeight="1" x14ac:dyDescent="0.25">
      <c r="B10" s="7"/>
      <c r="C10" s="7"/>
      <c r="F10" s="7"/>
      <c r="G10" s="7" t="s">
        <v>190</v>
      </c>
      <c r="H10" s="7" t="s">
        <v>190</v>
      </c>
      <c r="I10" s="7" t="str">
        <f>CONCATENATE(TEXT(short_feet,"#.##")," ft")</f>
        <v>6. ft</v>
      </c>
      <c r="J10" s="7" t="str">
        <f>CONCATENATE(TEXT(short_feet,"#.##")," ft")</f>
        <v>6. ft</v>
      </c>
      <c r="K10" s="7" t="str">
        <f>CONCATENATE(TEXT(short_feet,"#.##")," ft")</f>
        <v>6. ft</v>
      </c>
      <c r="L10" s="7" t="s">
        <v>94</v>
      </c>
      <c r="N10" s="36" t="s">
        <v>191</v>
      </c>
      <c r="O10" s="37" t="s">
        <v>191</v>
      </c>
      <c r="P10" s="37" t="s">
        <v>191</v>
      </c>
      <c r="Q10" s="37" t="s">
        <v>191</v>
      </c>
      <c r="R10" s="37" t="s">
        <v>191</v>
      </c>
      <c r="S10" s="338"/>
    </row>
    <row r="11" spans="2:20" ht="21" customHeight="1" x14ac:dyDescent="0.25">
      <c r="B11" s="89" t="s">
        <v>192</v>
      </c>
      <c r="C11" s="89" t="s">
        <v>63</v>
      </c>
      <c r="D11" s="89" t="s">
        <v>33</v>
      </c>
      <c r="E11" s="89" t="s">
        <v>193</v>
      </c>
      <c r="F11" s="89" t="s">
        <v>31</v>
      </c>
      <c r="G11" s="89" t="s">
        <v>194</v>
      </c>
      <c r="H11" s="89" t="s">
        <v>195</v>
      </c>
      <c r="I11" s="89" t="s">
        <v>196</v>
      </c>
      <c r="J11" s="89" t="s">
        <v>195</v>
      </c>
      <c r="K11" s="89" t="s">
        <v>197</v>
      </c>
      <c r="L11" s="89" t="s">
        <v>198</v>
      </c>
      <c r="N11" s="339" t="s">
        <v>199</v>
      </c>
      <c r="O11" s="89" t="s">
        <v>200</v>
      </c>
      <c r="P11" s="89" t="s">
        <v>201</v>
      </c>
      <c r="Q11" s="89" t="s">
        <v>202</v>
      </c>
      <c r="R11" s="89" t="s">
        <v>203</v>
      </c>
      <c r="S11" s="156" t="s">
        <v>27</v>
      </c>
    </row>
    <row r="12" spans="2:20" ht="21" customHeight="1" x14ac:dyDescent="0.25">
      <c r="B12" s="21">
        <v>6</v>
      </c>
      <c r="C12" s="7" t="s">
        <v>40</v>
      </c>
      <c r="D12" s="132" t="s">
        <v>204</v>
      </c>
      <c r="E12" s="7" t="s">
        <v>205</v>
      </c>
      <c r="F12" s="29">
        <v>3.9500000000000001E-4</v>
      </c>
      <c r="G12" s="104">
        <f t="shared" ref="G12:H20" si="0">short_amps*F12</f>
        <v>7.9000000000000008E-3</v>
      </c>
      <c r="H12" s="19">
        <f t="shared" si="0"/>
        <v>0.15800000000000003</v>
      </c>
      <c r="I12" s="29">
        <f t="shared" ref="I12:I20" si="1">F12*short_feet*2</f>
        <v>4.7400000000000003E-3</v>
      </c>
      <c r="J12" s="19">
        <f t="shared" ref="J12:J20" si="2">POWER(short_amps,2)*I12</f>
        <v>1.8960000000000001</v>
      </c>
      <c r="K12" s="340">
        <f t="shared" ref="K12:K20" si="3">J12/short_watts</f>
        <v>6.8695652173913048E-3</v>
      </c>
      <c r="L12" s="21">
        <f t="shared" ref="L12:L20" si="4">POWER(short_volts/(short_ohms+I12),2)*short_ohms</f>
        <v>272.24671923907624</v>
      </c>
      <c r="N12" s="341">
        <f t="shared" ref="N12:N20" si="5">IF(T12="",(SQRT(POWER(short_volts,4)-4*I12*POWER(short_volts,2)*short_watts)-2*I12*short_watts+POWER(short_volts,2))/(2*short_watts),"")</f>
        <v>0.68048698305689981</v>
      </c>
      <c r="O12" s="19">
        <f t="shared" ref="O12:O20" si="6">IF(N12="","",short_volts/(I12+N12))</f>
        <v>20.139311996203276</v>
      </c>
      <c r="P12" s="19">
        <f t="shared" ref="P12:P20" si="7">IF(N12="","",N12*O12)</f>
        <v>13.704539661137998</v>
      </c>
      <c r="Q12" s="21">
        <f t="shared" ref="Q12:Q20" si="8">IF(N12="","",POWER(O12,2)*N12)</f>
        <v>276.00000000000006</v>
      </c>
      <c r="R12" s="102">
        <f t="shared" ref="R12:R20" si="9">IF(O12="","",POWER(O12,2)*I12)</f>
        <v>1.9225055476051776</v>
      </c>
      <c r="S12" s="52">
        <f t="shared" ref="S12:S20" si="10">IF(Q12="","",Q12/(Q12+R12))</f>
        <v>0.9930825841404346</v>
      </c>
      <c r="T12" s="7" t="str">
        <f t="shared" ref="T12:T20" si="11">IF(POWER(short_volts,4)-4*I12*POWER(short_volts,2)*short_watts&lt;0,"WIRE RES","")</f>
        <v/>
      </c>
    </row>
    <row r="13" spans="2:20" ht="21" customHeight="1" x14ac:dyDescent="0.25">
      <c r="B13" s="54">
        <v>8</v>
      </c>
      <c r="C13" s="54" t="s">
        <v>40</v>
      </c>
      <c r="D13" s="342" t="s">
        <v>206</v>
      </c>
      <c r="E13" s="342" t="s">
        <v>207</v>
      </c>
      <c r="F13" s="56">
        <v>4.975E-4</v>
      </c>
      <c r="G13" s="111">
        <f t="shared" si="0"/>
        <v>9.9500000000000005E-3</v>
      </c>
      <c r="H13" s="57">
        <f t="shared" si="0"/>
        <v>0.19900000000000001</v>
      </c>
      <c r="I13" s="56">
        <f t="shared" si="1"/>
        <v>5.9699999999999996E-3</v>
      </c>
      <c r="J13" s="57">
        <f t="shared" si="2"/>
        <v>2.3879999999999999</v>
      </c>
      <c r="K13" s="192">
        <f t="shared" si="3"/>
        <v>8.6521739130434785E-3</v>
      </c>
      <c r="L13" s="60">
        <f t="shared" si="4"/>
        <v>271.28527676418804</v>
      </c>
      <c r="N13" s="343">
        <f t="shared" si="5"/>
        <v>0.67800743287717558</v>
      </c>
      <c r="O13" s="57">
        <f t="shared" si="6"/>
        <v>20.17610426406878</v>
      </c>
      <c r="P13" s="57">
        <f t="shared" si="7"/>
        <v>13.67954865754351</v>
      </c>
      <c r="Q13" s="60">
        <f t="shared" si="8"/>
        <v>275.99999999999994</v>
      </c>
      <c r="R13" s="109">
        <f t="shared" si="9"/>
        <v>2.4302388441492089</v>
      </c>
      <c r="S13" s="61">
        <f t="shared" si="10"/>
        <v>0.99127164185097905</v>
      </c>
      <c r="T13" s="7" t="str">
        <f t="shared" si="11"/>
        <v/>
      </c>
    </row>
    <row r="14" spans="2:20" ht="21" customHeight="1" x14ac:dyDescent="0.25">
      <c r="B14" s="7">
        <v>8</v>
      </c>
      <c r="C14" s="7" t="s">
        <v>40</v>
      </c>
      <c r="D14" s="132" t="s">
        <v>44</v>
      </c>
      <c r="E14" s="132"/>
      <c r="F14" s="29">
        <v>6.2799999999999998E-4</v>
      </c>
      <c r="G14" s="104">
        <f t="shared" si="0"/>
        <v>1.256E-2</v>
      </c>
      <c r="H14" s="19">
        <f t="shared" si="0"/>
        <v>0.25119999999999998</v>
      </c>
      <c r="I14" s="29">
        <f t="shared" si="1"/>
        <v>7.5359999999999993E-3</v>
      </c>
      <c r="J14" s="19">
        <f t="shared" si="2"/>
        <v>3.0143999999999997</v>
      </c>
      <c r="K14" s="340">
        <f t="shared" si="3"/>
        <v>1.0921739130434783E-2</v>
      </c>
      <c r="L14" s="21">
        <f t="shared" si="4"/>
        <v>270.06854856948291</v>
      </c>
      <c r="N14" s="341">
        <f t="shared" si="5"/>
        <v>0.67484384527828567</v>
      </c>
      <c r="O14" s="19">
        <f t="shared" si="6"/>
        <v>20.223340556566608</v>
      </c>
      <c r="P14" s="19">
        <f t="shared" si="7"/>
        <v>13.647596905565715</v>
      </c>
      <c r="Q14" s="21">
        <f t="shared" si="8"/>
        <v>276.00000000000011</v>
      </c>
      <c r="R14" s="102">
        <f t="shared" si="9"/>
        <v>3.0820996806191459</v>
      </c>
      <c r="S14" s="52">
        <f t="shared" si="10"/>
        <v>0.98895629750476188</v>
      </c>
      <c r="T14" s="7" t="str">
        <f t="shared" si="11"/>
        <v/>
      </c>
    </row>
    <row r="15" spans="2:20" ht="21" customHeight="1" x14ac:dyDescent="0.25">
      <c r="B15" s="143">
        <v>10</v>
      </c>
      <c r="C15" s="344" t="s">
        <v>40</v>
      </c>
      <c r="D15" s="345" t="s">
        <v>208</v>
      </c>
      <c r="E15" s="345" t="s">
        <v>209</v>
      </c>
      <c r="F15" s="141">
        <v>9.9879999999999999E-4</v>
      </c>
      <c r="G15" s="346">
        <f t="shared" si="0"/>
        <v>1.9976000000000001E-2</v>
      </c>
      <c r="H15" s="184">
        <f t="shared" si="0"/>
        <v>0.39951999999999999</v>
      </c>
      <c r="I15" s="141">
        <f t="shared" si="1"/>
        <v>1.1985599999999999E-2</v>
      </c>
      <c r="J15" s="184">
        <f t="shared" si="2"/>
        <v>4.7942399999999994</v>
      </c>
      <c r="K15" s="187">
        <f t="shared" si="3"/>
        <v>1.7370434782608694E-2</v>
      </c>
      <c r="L15" s="143">
        <f t="shared" si="4"/>
        <v>266.6556908685846</v>
      </c>
      <c r="N15" s="347">
        <f t="shared" si="5"/>
        <v>0.66581304182415191</v>
      </c>
      <c r="O15" s="184">
        <f t="shared" si="6"/>
        <v>20.360028994540642</v>
      </c>
      <c r="P15" s="184">
        <f t="shared" si="7"/>
        <v>13.555972836483035</v>
      </c>
      <c r="Q15" s="143">
        <f t="shared" si="8"/>
        <v>275.99999999999989</v>
      </c>
      <c r="R15" s="186">
        <f t="shared" si="9"/>
        <v>4.9684001246609437</v>
      </c>
      <c r="S15" s="145">
        <f t="shared" si="10"/>
        <v>0.9823168722089155</v>
      </c>
      <c r="T15" s="7" t="str">
        <f t="shared" si="11"/>
        <v/>
      </c>
    </row>
    <row r="16" spans="2:20" ht="21" customHeight="1" x14ac:dyDescent="0.25">
      <c r="B16" s="21">
        <v>8</v>
      </c>
      <c r="C16" s="7" t="s">
        <v>45</v>
      </c>
      <c r="D16" s="132" t="s">
        <v>210</v>
      </c>
      <c r="E16" s="7"/>
      <c r="F16" s="29">
        <v>1.0199166666666666E-3</v>
      </c>
      <c r="G16" s="104">
        <f t="shared" si="0"/>
        <v>2.0398333333333331E-2</v>
      </c>
      <c r="H16" s="19">
        <f t="shared" si="0"/>
        <v>0.40796666666666659</v>
      </c>
      <c r="I16" s="29">
        <f t="shared" si="1"/>
        <v>1.2239E-2</v>
      </c>
      <c r="J16" s="19">
        <f t="shared" si="2"/>
        <v>4.8956</v>
      </c>
      <c r="K16" s="340">
        <f t="shared" si="3"/>
        <v>1.7737681159420291E-2</v>
      </c>
      <c r="L16" s="21">
        <f t="shared" si="4"/>
        <v>266.46328241280008</v>
      </c>
      <c r="N16" s="341">
        <f t="shared" si="5"/>
        <v>0.66529684769164366</v>
      </c>
      <c r="O16" s="19">
        <f t="shared" si="6"/>
        <v>20.367925987999648</v>
      </c>
      <c r="P16" s="19">
        <f t="shared" si="7"/>
        <v>13.550716953832872</v>
      </c>
      <c r="Q16" s="21">
        <f t="shared" si="8"/>
        <v>276</v>
      </c>
      <c r="R16" s="102">
        <f t="shared" si="9"/>
        <v>5.0773786343951564</v>
      </c>
      <c r="S16" s="52">
        <f t="shared" si="10"/>
        <v>0.98193601114730966</v>
      </c>
      <c r="T16" s="7" t="str">
        <f t="shared" si="11"/>
        <v/>
      </c>
    </row>
    <row r="17" spans="2:20" ht="21" customHeight="1" x14ac:dyDescent="0.25">
      <c r="B17" s="348">
        <v>10</v>
      </c>
      <c r="C17" s="349" t="s">
        <v>40</v>
      </c>
      <c r="D17" s="350" t="s">
        <v>211</v>
      </c>
      <c r="E17" s="350" t="s">
        <v>212</v>
      </c>
      <c r="F17" s="351">
        <v>1.0671999999999999E-3</v>
      </c>
      <c r="G17" s="352">
        <f t="shared" si="0"/>
        <v>2.1343999999999998E-2</v>
      </c>
      <c r="H17" s="353">
        <f t="shared" si="0"/>
        <v>0.42687999999999998</v>
      </c>
      <c r="I17" s="351">
        <f t="shared" si="1"/>
        <v>1.2806399999999999E-2</v>
      </c>
      <c r="J17" s="353">
        <f t="shared" si="2"/>
        <v>5.12256</v>
      </c>
      <c r="K17" s="354">
        <f t="shared" si="3"/>
        <v>1.856E-2</v>
      </c>
      <c r="L17" s="348">
        <f t="shared" si="4"/>
        <v>266.03320597791696</v>
      </c>
      <c r="N17" s="355">
        <f t="shared" si="5"/>
        <v>0.66414025836546697</v>
      </c>
      <c r="O17" s="353">
        <f t="shared" si="6"/>
        <v>20.38565347721935</v>
      </c>
      <c r="P17" s="353">
        <f t="shared" si="7"/>
        <v>13.53893316730934</v>
      </c>
      <c r="Q17" s="348">
        <f t="shared" si="8"/>
        <v>276.00000000000006</v>
      </c>
      <c r="R17" s="356">
        <f t="shared" si="9"/>
        <v>5.3220179856270331</v>
      </c>
      <c r="S17" s="357">
        <f t="shared" si="10"/>
        <v>0.98108211357314046</v>
      </c>
      <c r="T17" s="7" t="str">
        <f t="shared" si="11"/>
        <v/>
      </c>
    </row>
    <row r="18" spans="2:20" ht="21" customHeight="1" x14ac:dyDescent="0.25">
      <c r="B18" s="21">
        <v>12</v>
      </c>
      <c r="C18" s="7" t="s">
        <v>40</v>
      </c>
      <c r="D18" s="132" t="s">
        <v>44</v>
      </c>
      <c r="E18" s="132"/>
      <c r="F18" s="29">
        <v>2.0820000000000001E-3</v>
      </c>
      <c r="G18" s="104">
        <f t="shared" si="0"/>
        <v>4.1640000000000003E-2</v>
      </c>
      <c r="H18" s="19">
        <f t="shared" si="0"/>
        <v>0.8328000000000001</v>
      </c>
      <c r="I18" s="29">
        <f t="shared" si="1"/>
        <v>2.4983999999999999E-2</v>
      </c>
      <c r="J18" s="19">
        <f t="shared" si="2"/>
        <v>9.9935999999999989</v>
      </c>
      <c r="K18" s="340">
        <f t="shared" si="3"/>
        <v>3.6208695652173911E-2</v>
      </c>
      <c r="L18" s="21">
        <f t="shared" si="4"/>
        <v>257.04822963996253</v>
      </c>
      <c r="N18" s="341">
        <f t="shared" si="5"/>
        <v>0.63905524523481438</v>
      </c>
      <c r="O18" s="19">
        <f t="shared" si="6"/>
        <v>20.781904230856281</v>
      </c>
      <c r="P18" s="19">
        <f t="shared" si="7"/>
        <v>13.280784904696286</v>
      </c>
      <c r="Q18" s="21">
        <f t="shared" si="8"/>
        <v>276</v>
      </c>
      <c r="R18" s="102">
        <f t="shared" si="9"/>
        <v>10.790278385816686</v>
      </c>
      <c r="S18" s="52">
        <f t="shared" si="10"/>
        <v>0.96237571773161501</v>
      </c>
      <c r="T18" s="7" t="str">
        <f t="shared" si="11"/>
        <v/>
      </c>
    </row>
    <row r="19" spans="2:20" ht="21" customHeight="1" x14ac:dyDescent="0.25">
      <c r="B19" s="113">
        <v>10</v>
      </c>
      <c r="C19" s="11" t="s">
        <v>45</v>
      </c>
      <c r="D19" s="358" t="s">
        <v>213</v>
      </c>
      <c r="E19" s="11" t="s">
        <v>214</v>
      </c>
      <c r="F19" s="359">
        <v>2.7014999999999999E-3</v>
      </c>
      <c r="G19" s="118">
        <f t="shared" si="0"/>
        <v>5.4029999999999995E-2</v>
      </c>
      <c r="H19" s="115">
        <f t="shared" si="0"/>
        <v>1.0806</v>
      </c>
      <c r="I19" s="359">
        <f t="shared" si="1"/>
        <v>3.2418000000000002E-2</v>
      </c>
      <c r="J19" s="115">
        <f t="shared" si="2"/>
        <v>12.967200000000002</v>
      </c>
      <c r="K19" s="360">
        <f t="shared" si="3"/>
        <v>4.6982608695652184E-2</v>
      </c>
      <c r="L19" s="113">
        <f t="shared" si="4"/>
        <v>251.78516987445065</v>
      </c>
      <c r="N19" s="361">
        <f t="shared" si="5"/>
        <v>0.6234784136171404</v>
      </c>
      <c r="O19" s="115">
        <f t="shared" si="6"/>
        <v>21.039907695021082</v>
      </c>
      <c r="P19" s="115">
        <f t="shared" si="7"/>
        <v>13.117928272342809</v>
      </c>
      <c r="Q19" s="113">
        <f t="shared" si="8"/>
        <v>276.00000000000006</v>
      </c>
      <c r="R19" s="114">
        <f t="shared" si="9"/>
        <v>14.350726191290908</v>
      </c>
      <c r="S19" s="362">
        <f t="shared" si="10"/>
        <v>0.95057451248860925</v>
      </c>
      <c r="T19" s="7" t="str">
        <f t="shared" si="11"/>
        <v/>
      </c>
    </row>
    <row r="20" spans="2:20" ht="22" customHeight="1" thickBot="1" x14ac:dyDescent="0.3">
      <c r="B20" s="21">
        <v>16</v>
      </c>
      <c r="C20" s="7" t="s">
        <v>40</v>
      </c>
      <c r="D20" s="132" t="s">
        <v>215</v>
      </c>
      <c r="E20" s="7" t="s">
        <v>216</v>
      </c>
      <c r="F20" s="29">
        <v>4.0028571428571431E-3</v>
      </c>
      <c r="G20" s="104">
        <f t="shared" si="0"/>
        <v>8.0057142857142854E-2</v>
      </c>
      <c r="H20" s="19">
        <f t="shared" si="0"/>
        <v>1.601142857142857</v>
      </c>
      <c r="I20" s="29">
        <f t="shared" si="1"/>
        <v>4.8034285714285717E-2</v>
      </c>
      <c r="J20" s="19">
        <f t="shared" si="2"/>
        <v>19.213714285714286</v>
      </c>
      <c r="K20" s="340">
        <f t="shared" si="3"/>
        <v>6.9614906832298137E-2</v>
      </c>
      <c r="L20" s="21">
        <f t="shared" si="4"/>
        <v>241.24270432988874</v>
      </c>
      <c r="N20" s="363">
        <f t="shared" si="5"/>
        <v>0.59002090167734356</v>
      </c>
      <c r="O20" s="78">
        <f t="shared" si="6"/>
        <v>21.628223189305029</v>
      </c>
      <c r="P20" s="78">
        <f t="shared" si="7"/>
        <v>12.761103747832584</v>
      </c>
      <c r="Q20" s="82">
        <f t="shared" si="8"/>
        <v>276</v>
      </c>
      <c r="R20" s="119">
        <f t="shared" si="9"/>
        <v>22.469480012409427</v>
      </c>
      <c r="S20" s="83">
        <f t="shared" si="10"/>
        <v>0.9247176628864191</v>
      </c>
      <c r="T20" s="7" t="str">
        <f t="shared" si="11"/>
        <v/>
      </c>
    </row>
    <row r="23" spans="2:20" ht="21" customHeight="1" x14ac:dyDescent="0.25">
      <c r="B23" s="1" t="s">
        <v>217</v>
      </c>
    </row>
    <row r="24" spans="2:20" ht="21" customHeight="1" x14ac:dyDescent="0.25">
      <c r="B24" s="364" t="s">
        <v>218</v>
      </c>
    </row>
    <row r="25" spans="2:20" ht="21" customHeight="1" x14ac:dyDescent="0.25">
      <c r="B25" s="365" t="s">
        <v>219</v>
      </c>
    </row>
    <row r="26" spans="2:20" ht="21" customHeight="1" x14ac:dyDescent="0.25">
      <c r="B26" s="1" t="s">
        <v>220</v>
      </c>
    </row>
    <row r="27" spans="2:20" ht="21" customHeight="1" x14ac:dyDescent="0.25">
      <c r="B27" s="1" t="s">
        <v>221</v>
      </c>
    </row>
    <row r="28" spans="2:20" ht="21" customHeight="1" x14ac:dyDescent="0.25">
      <c r="B28" s="1" t="s">
        <v>222</v>
      </c>
    </row>
    <row r="30" spans="2:20" ht="21" customHeight="1" x14ac:dyDescent="0.25">
      <c r="B30" s="1" t="s">
        <v>223</v>
      </c>
      <c r="I30" s="1" t="s">
        <v>224</v>
      </c>
    </row>
    <row r="32" spans="2:20" ht="21" customHeight="1" x14ac:dyDescent="0.25">
      <c r="B32" s="1" t="s">
        <v>225</v>
      </c>
    </row>
    <row r="34" spans="2:2" ht="21" customHeight="1" x14ac:dyDescent="0.25">
      <c r="B34" s="1" t="s">
        <v>226</v>
      </c>
    </row>
    <row r="36" spans="2:2" ht="21" customHeight="1" x14ac:dyDescent="0.25">
      <c r="B36" s="1" t="s">
        <v>227</v>
      </c>
    </row>
    <row r="38" spans="2:2" ht="21" customHeight="1" x14ac:dyDescent="0.25">
      <c r="B38" s="1" t="s">
        <v>228</v>
      </c>
    </row>
  </sheetData>
  <hyperlinks>
    <hyperlink ref="B24" r:id="rId1" display="https://www.wolframalpha.com/input?i=solve+w%3Dpower%28v%2F%28A%2BB%29%2C2%29*A+for+A"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N73"/>
  <sheetViews>
    <sheetView topLeftCell="A6" workbookViewId="0">
      <selection activeCell="C4" sqref="C4"/>
    </sheetView>
  </sheetViews>
  <sheetFormatPr baseColWidth="10" defaultColWidth="15.83203125" defaultRowHeight="21" customHeight="1" x14ac:dyDescent="0.25"/>
  <cols>
    <col min="1" max="1" width="3.83203125" style="1" customWidth="1"/>
    <col min="2" max="16384" width="15.83203125" style="1"/>
  </cols>
  <sheetData>
    <row r="2" spans="2:14" ht="21" customHeight="1" x14ac:dyDescent="0.25">
      <c r="B2" s="227" t="s">
        <v>231</v>
      </c>
    </row>
    <row r="4" spans="2:14" ht="22" customHeight="1" thickBot="1" x14ac:dyDescent="0.3"/>
    <row r="5" spans="2:14" ht="22" customHeight="1" thickBot="1" x14ac:dyDescent="0.3">
      <c r="B5" s="1" t="s">
        <v>160</v>
      </c>
      <c r="C5" s="367">
        <v>1.38</v>
      </c>
      <c r="E5" s="1" t="s">
        <v>232</v>
      </c>
      <c r="K5" s="5">
        <v>0.38</v>
      </c>
      <c r="L5" s="1" t="s">
        <v>233</v>
      </c>
    </row>
    <row r="6" spans="2:14" ht="22" customHeight="1" thickBot="1" x14ac:dyDescent="0.3">
      <c r="B6" s="1" t="s">
        <v>234</v>
      </c>
      <c r="C6" s="368">
        <v>13.8</v>
      </c>
      <c r="E6" s="1" t="s">
        <v>235</v>
      </c>
      <c r="K6" s="5">
        <v>0.69</v>
      </c>
      <c r="L6" s="1" t="s">
        <v>236</v>
      </c>
    </row>
    <row r="7" spans="2:14" ht="21" customHeight="1" x14ac:dyDescent="0.25">
      <c r="B7" s="1" t="s">
        <v>237</v>
      </c>
      <c r="C7" s="6">
        <f>IF(OR(comp_pr_ohms="",comp_pr_volts=""),"",POWER(comp_pr_volts,2)/comp_pr_ohms)</f>
        <v>138.00000000000003</v>
      </c>
      <c r="E7" s="1" t="s">
        <v>238</v>
      </c>
    </row>
    <row r="8" spans="2:14" ht="21" customHeight="1" x14ac:dyDescent="0.25">
      <c r="B8" s="1" t="s">
        <v>239</v>
      </c>
      <c r="C8" s="287">
        <f>comp_pr_volts/comp_pr_ohms</f>
        <v>10.000000000000002</v>
      </c>
      <c r="E8" s="1" t="s">
        <v>240</v>
      </c>
    </row>
    <row r="10" spans="2:14" ht="22" customHeight="1" thickBot="1" x14ac:dyDescent="0.3">
      <c r="C10" s="369" t="s">
        <v>161</v>
      </c>
      <c r="D10" s="370" t="s">
        <v>241</v>
      </c>
      <c r="E10" s="371" t="s">
        <v>100</v>
      </c>
      <c r="F10" s="371" t="s">
        <v>126</v>
      </c>
      <c r="G10" s="371" t="s">
        <v>242</v>
      </c>
      <c r="H10" s="371" t="s">
        <v>102</v>
      </c>
      <c r="I10" s="371" t="s">
        <v>243</v>
      </c>
      <c r="J10" s="371" t="s">
        <v>244</v>
      </c>
      <c r="K10" s="371" t="s">
        <v>103</v>
      </c>
      <c r="L10" s="371" t="s">
        <v>245</v>
      </c>
      <c r="M10" s="371" t="s">
        <v>246</v>
      </c>
      <c r="N10" s="372" t="s">
        <v>105</v>
      </c>
    </row>
    <row r="11" spans="2:14" ht="22" customHeight="1" thickTop="1" x14ac:dyDescent="0.25">
      <c r="C11" s="89" t="s">
        <v>159</v>
      </c>
      <c r="D11" s="373">
        <f t="shared" ref="D11:N11" si="0">IF(D10="","",VLOOKUP(D10,distline_table,2,FALSE))</f>
        <v>12.5</v>
      </c>
      <c r="E11" s="374">
        <f t="shared" si="0"/>
        <v>50</v>
      </c>
      <c r="F11" s="374">
        <f t="shared" si="0"/>
        <v>25</v>
      </c>
      <c r="G11" s="374">
        <f t="shared" si="0"/>
        <v>16.420000000000002</v>
      </c>
      <c r="H11" s="374">
        <f t="shared" si="0"/>
        <v>100</v>
      </c>
      <c r="I11" s="374">
        <f t="shared" si="0"/>
        <v>50</v>
      </c>
      <c r="J11" s="374">
        <f t="shared" si="0"/>
        <v>25</v>
      </c>
      <c r="K11" s="374">
        <f t="shared" si="0"/>
        <v>100</v>
      </c>
      <c r="L11" s="374">
        <f t="shared" si="0"/>
        <v>50</v>
      </c>
      <c r="M11" s="374">
        <f t="shared" si="0"/>
        <v>100</v>
      </c>
      <c r="N11" s="375">
        <f t="shared" si="0"/>
        <v>100</v>
      </c>
    </row>
    <row r="12" spans="2:14" ht="21" customHeight="1" x14ac:dyDescent="0.25">
      <c r="C12" s="89" t="s">
        <v>165</v>
      </c>
      <c r="D12" s="183">
        <f t="shared" ref="D12:N12" si="1">IF(D10="","",VLOOKUP(D10,distline_table,5,FALSE))</f>
        <v>1.04681E-3</v>
      </c>
      <c r="E12" s="141">
        <f t="shared" si="1"/>
        <v>3.9500000000000001E-4</v>
      </c>
      <c r="F12" s="141">
        <f t="shared" si="1"/>
        <v>1.04681E-3</v>
      </c>
      <c r="G12" s="141">
        <f t="shared" si="1"/>
        <v>1.7185185185185185E-3</v>
      </c>
      <c r="H12" s="141">
        <f t="shared" si="1"/>
        <v>4.975E-4</v>
      </c>
      <c r="I12" s="141">
        <f t="shared" si="1"/>
        <v>1.04681E-3</v>
      </c>
      <c r="J12" s="141">
        <f t="shared" si="1"/>
        <v>2.7014999999999999E-3</v>
      </c>
      <c r="K12" s="141">
        <f t="shared" si="1"/>
        <v>1.04681E-3</v>
      </c>
      <c r="L12" s="141">
        <f t="shared" si="1"/>
        <v>2.7014999999999999E-3</v>
      </c>
      <c r="M12" s="141">
        <f t="shared" si="1"/>
        <v>2.0820000000000001E-3</v>
      </c>
      <c r="N12" s="376">
        <f t="shared" si="1"/>
        <v>2.7014999999999999E-3</v>
      </c>
    </row>
    <row r="13" spans="2:14" ht="22" customHeight="1" thickBot="1" x14ac:dyDescent="0.3">
      <c r="C13" s="133" t="s">
        <v>162</v>
      </c>
      <c r="D13" s="377">
        <f t="shared" ref="D13:N13" si="2">IF(D11="","",D11*2)</f>
        <v>25</v>
      </c>
      <c r="E13" s="378">
        <f t="shared" si="2"/>
        <v>100</v>
      </c>
      <c r="F13" s="378">
        <f t="shared" si="2"/>
        <v>50</v>
      </c>
      <c r="G13" s="378">
        <f t="shared" si="2"/>
        <v>32.840000000000003</v>
      </c>
      <c r="H13" s="378">
        <f t="shared" si="2"/>
        <v>200</v>
      </c>
      <c r="I13" s="378">
        <f t="shared" si="2"/>
        <v>100</v>
      </c>
      <c r="J13" s="378">
        <f t="shared" si="2"/>
        <v>50</v>
      </c>
      <c r="K13" s="378">
        <f t="shared" si="2"/>
        <v>200</v>
      </c>
      <c r="L13" s="378">
        <f t="shared" si="2"/>
        <v>100</v>
      </c>
      <c r="M13" s="378">
        <f t="shared" si="2"/>
        <v>200</v>
      </c>
      <c r="N13" s="379">
        <f t="shared" si="2"/>
        <v>200</v>
      </c>
    </row>
    <row r="14" spans="2:14" ht="21" customHeight="1" x14ac:dyDescent="0.25">
      <c r="C14" s="89" t="s">
        <v>247</v>
      </c>
      <c r="D14" s="380">
        <f t="shared" ref="D14:N14" si="3">IF(OR(D16="",D15=""),"",D16/D15)</f>
        <v>9.8138898899333142</v>
      </c>
      <c r="E14" s="186">
        <f t="shared" si="3"/>
        <v>9.7217330045790771</v>
      </c>
      <c r="F14" s="186">
        <f t="shared" si="3"/>
        <v>9.6345806042627444</v>
      </c>
      <c r="G14" s="186">
        <f t="shared" si="3"/>
        <v>9.6071099420541213</v>
      </c>
      <c r="H14" s="186">
        <f t="shared" si="3"/>
        <v>9.3274754984792168</v>
      </c>
      <c r="I14" s="186">
        <f t="shared" si="3"/>
        <v>9.2949259807325628</v>
      </c>
      <c r="J14" s="186">
        <f t="shared" si="3"/>
        <v>9.1084599772288506</v>
      </c>
      <c r="K14" s="186">
        <f t="shared" si="3"/>
        <v>8.6827292964095033</v>
      </c>
      <c r="L14" s="186">
        <f t="shared" si="3"/>
        <v>8.36287610217253</v>
      </c>
      <c r="M14" s="186">
        <f t="shared" si="3"/>
        <v>7.6820307281229141</v>
      </c>
      <c r="N14" s="381">
        <f t="shared" si="3"/>
        <v>7.1863771285736613</v>
      </c>
    </row>
    <row r="15" spans="2:14" ht="21" customHeight="1" x14ac:dyDescent="0.25">
      <c r="C15" s="89" t="s">
        <v>248</v>
      </c>
      <c r="D15" s="382">
        <f t="shared" ref="D15:N15" si="4">IF(OR(D21="",D18=""),"",D21+D18)</f>
        <v>1.40617025</v>
      </c>
      <c r="E15" s="105">
        <f t="shared" si="4"/>
        <v>1.4195</v>
      </c>
      <c r="F15" s="105">
        <f t="shared" si="4"/>
        <v>1.4323404999999998</v>
      </c>
      <c r="G15" s="105">
        <f t="shared" si="4"/>
        <v>1.436436148148148</v>
      </c>
      <c r="H15" s="105">
        <f t="shared" si="4"/>
        <v>1.4794999999999998</v>
      </c>
      <c r="I15" s="105">
        <f t="shared" si="4"/>
        <v>1.4846809999999999</v>
      </c>
      <c r="J15" s="105">
        <f t="shared" si="4"/>
        <v>1.5150749999999999</v>
      </c>
      <c r="K15" s="105">
        <f t="shared" si="4"/>
        <v>1.5893619999999999</v>
      </c>
      <c r="L15" s="105">
        <f t="shared" si="4"/>
        <v>1.65015</v>
      </c>
      <c r="M15" s="105">
        <f t="shared" si="4"/>
        <v>1.7963999999999998</v>
      </c>
      <c r="N15" s="383">
        <f t="shared" si="4"/>
        <v>1.9202999999999999</v>
      </c>
    </row>
    <row r="16" spans="2:14" ht="21" customHeight="1" x14ac:dyDescent="0.25">
      <c r="C16" s="89" t="s">
        <v>234</v>
      </c>
      <c r="D16" s="53">
        <f t="shared" ref="D16:N16" si="5">IF(comp_pr_volts="","",comp_pr_volts)</f>
        <v>13.8</v>
      </c>
      <c r="E16" s="54">
        <f t="shared" si="5"/>
        <v>13.8</v>
      </c>
      <c r="F16" s="54">
        <f t="shared" si="5"/>
        <v>13.8</v>
      </c>
      <c r="G16" s="54">
        <f t="shared" si="5"/>
        <v>13.8</v>
      </c>
      <c r="H16" s="54">
        <f t="shared" si="5"/>
        <v>13.8</v>
      </c>
      <c r="I16" s="54">
        <f t="shared" si="5"/>
        <v>13.8</v>
      </c>
      <c r="J16" s="54">
        <f t="shared" si="5"/>
        <v>13.8</v>
      </c>
      <c r="K16" s="54">
        <f t="shared" si="5"/>
        <v>13.8</v>
      </c>
      <c r="L16" s="54">
        <f t="shared" si="5"/>
        <v>13.8</v>
      </c>
      <c r="M16" s="54">
        <f t="shared" si="5"/>
        <v>13.8</v>
      </c>
      <c r="N16" s="384">
        <f t="shared" si="5"/>
        <v>13.8</v>
      </c>
    </row>
    <row r="17" spans="2:14" ht="22" customHeight="1" thickBot="1" x14ac:dyDescent="0.3">
      <c r="C17" s="89" t="s">
        <v>249</v>
      </c>
      <c r="D17" s="385">
        <f t="shared" ref="D17:N17" si="6">IF(OR(D16="",D14=""),"",D16*D14)</f>
        <v>135.43168048107975</v>
      </c>
      <c r="E17" s="143">
        <f t="shared" si="6"/>
        <v>134.15991546319128</v>
      </c>
      <c r="F17" s="143">
        <f t="shared" si="6"/>
        <v>132.95721233882588</v>
      </c>
      <c r="G17" s="143">
        <f t="shared" si="6"/>
        <v>132.57811720034687</v>
      </c>
      <c r="H17" s="143">
        <f t="shared" si="6"/>
        <v>128.7191618790132</v>
      </c>
      <c r="I17" s="143">
        <f t="shared" si="6"/>
        <v>128.26997853410938</v>
      </c>
      <c r="J17" s="143">
        <f t="shared" si="6"/>
        <v>125.69674768575814</v>
      </c>
      <c r="K17" s="143">
        <f t="shared" si="6"/>
        <v>119.82166429045115</v>
      </c>
      <c r="L17" s="143">
        <f t="shared" si="6"/>
        <v>115.40769020998091</v>
      </c>
      <c r="M17" s="143">
        <f t="shared" si="6"/>
        <v>106.01202404809622</v>
      </c>
      <c r="N17" s="386">
        <f t="shared" si="6"/>
        <v>99.172004374316529</v>
      </c>
    </row>
    <row r="18" spans="2:14" ht="21" customHeight="1" x14ac:dyDescent="0.25">
      <c r="C18" s="387" t="s">
        <v>163</v>
      </c>
      <c r="D18" s="388">
        <f t="shared" ref="D18:N18" si="7">IF(OR(D12="",D13=""),"",D12*D13)</f>
        <v>2.6170249999999999E-2</v>
      </c>
      <c r="E18" s="389">
        <f t="shared" si="7"/>
        <v>3.95E-2</v>
      </c>
      <c r="F18" s="389">
        <f t="shared" si="7"/>
        <v>5.2340499999999998E-2</v>
      </c>
      <c r="G18" s="389">
        <f t="shared" si="7"/>
        <v>5.6436148148148152E-2</v>
      </c>
      <c r="H18" s="389">
        <f t="shared" si="7"/>
        <v>9.9500000000000005E-2</v>
      </c>
      <c r="I18" s="389">
        <f t="shared" si="7"/>
        <v>0.104681</v>
      </c>
      <c r="J18" s="389">
        <f t="shared" si="7"/>
        <v>0.135075</v>
      </c>
      <c r="K18" s="389">
        <f t="shared" si="7"/>
        <v>0.20936199999999999</v>
      </c>
      <c r="L18" s="389">
        <f t="shared" si="7"/>
        <v>0.27015</v>
      </c>
      <c r="M18" s="389">
        <f t="shared" si="7"/>
        <v>0.41639999999999999</v>
      </c>
      <c r="N18" s="390">
        <f t="shared" si="7"/>
        <v>0.5403</v>
      </c>
    </row>
    <row r="19" spans="2:14" ht="21" customHeight="1" x14ac:dyDescent="0.25">
      <c r="C19" s="89" t="s">
        <v>166</v>
      </c>
      <c r="D19" s="382">
        <f t="shared" ref="D19:N19" si="8">IF(OR(D14="",D18=""),"",D14*D18)</f>
        <v>0.25683195189202729</v>
      </c>
      <c r="E19" s="105">
        <f t="shared" si="8"/>
        <v>0.38400845368087355</v>
      </c>
      <c r="F19" s="105">
        <f t="shared" si="8"/>
        <v>0.50427876611741418</v>
      </c>
      <c r="G19" s="105">
        <f t="shared" si="8"/>
        <v>0.54218827996531338</v>
      </c>
      <c r="H19" s="105">
        <f t="shared" si="8"/>
        <v>0.92808381209868207</v>
      </c>
      <c r="I19" s="105">
        <f t="shared" si="8"/>
        <v>0.97300214658906536</v>
      </c>
      <c r="J19" s="105">
        <f t="shared" si="8"/>
        <v>1.230325231424187</v>
      </c>
      <c r="K19" s="105">
        <f t="shared" si="8"/>
        <v>1.8178335709548863</v>
      </c>
      <c r="L19" s="105">
        <f t="shared" si="8"/>
        <v>2.2592309790019089</v>
      </c>
      <c r="M19" s="105">
        <f t="shared" si="8"/>
        <v>3.1987975951903813</v>
      </c>
      <c r="N19" s="383">
        <f t="shared" si="8"/>
        <v>3.8827995625683491</v>
      </c>
    </row>
    <row r="20" spans="2:14" ht="22" customHeight="1" thickBot="1" x14ac:dyDescent="0.3">
      <c r="C20" s="134" t="s">
        <v>167</v>
      </c>
      <c r="D20" s="391">
        <f t="shared" ref="D20:N20" si="9">IF(OR(D14="",D19=""),"",D14*D19)</f>
        <v>2.5205204960850058</v>
      </c>
      <c r="E20" s="392">
        <f t="shared" si="9"/>
        <v>3.7332276581867241</v>
      </c>
      <c r="F20" s="392">
        <f t="shared" si="9"/>
        <v>4.8585144191763874</v>
      </c>
      <c r="G20" s="392">
        <f t="shared" si="9"/>
        <v>5.2088624149199854</v>
      </c>
      <c r="H20" s="392">
        <f t="shared" si="9"/>
        <v>8.6566790178856454</v>
      </c>
      <c r="I20" s="392">
        <f t="shared" si="9"/>
        <v>9.0439829316392579</v>
      </c>
      <c r="J20" s="392">
        <f t="shared" si="9"/>
        <v>11.206368129402032</v>
      </c>
      <c r="K20" s="392">
        <f t="shared" si="9"/>
        <v>15.783756802526694</v>
      </c>
      <c r="L20" s="392">
        <f t="shared" si="9"/>
        <v>18.893668763582912</v>
      </c>
      <c r="M20" s="392">
        <f t="shared" si="9"/>
        <v>24.573261419298191</v>
      </c>
      <c r="N20" s="393">
        <f t="shared" si="9"/>
        <v>27.903261971277001</v>
      </c>
    </row>
    <row r="21" spans="2:14" ht="21" customHeight="1" x14ac:dyDescent="0.25">
      <c r="C21" s="387" t="s">
        <v>160</v>
      </c>
      <c r="D21" s="394">
        <f t="shared" ref="D21:N21" si="10">IF(comp_pr_ohms="","",comp_pr_ohms)</f>
        <v>1.38</v>
      </c>
      <c r="E21" s="395">
        <f t="shared" si="10"/>
        <v>1.38</v>
      </c>
      <c r="F21" s="395">
        <f t="shared" si="10"/>
        <v>1.38</v>
      </c>
      <c r="G21" s="395">
        <f t="shared" si="10"/>
        <v>1.38</v>
      </c>
      <c r="H21" s="395">
        <f t="shared" si="10"/>
        <v>1.38</v>
      </c>
      <c r="I21" s="395">
        <f t="shared" si="10"/>
        <v>1.38</v>
      </c>
      <c r="J21" s="395">
        <f t="shared" si="10"/>
        <v>1.38</v>
      </c>
      <c r="K21" s="395">
        <f t="shared" si="10"/>
        <v>1.38</v>
      </c>
      <c r="L21" s="395">
        <f t="shared" si="10"/>
        <v>1.38</v>
      </c>
      <c r="M21" s="395">
        <f t="shared" si="10"/>
        <v>1.38</v>
      </c>
      <c r="N21" s="396">
        <f t="shared" si="10"/>
        <v>1.38</v>
      </c>
    </row>
    <row r="22" spans="2:14" ht="21" customHeight="1" x14ac:dyDescent="0.25">
      <c r="C22" s="89" t="s">
        <v>168</v>
      </c>
      <c r="D22" s="380">
        <f t="shared" ref="D22:N22" si="11">IF(OR(D14="",D21=""),"",D14*D21)</f>
        <v>13.543168048107972</v>
      </c>
      <c r="E22" s="186">
        <f t="shared" si="11"/>
        <v>13.415991546319125</v>
      </c>
      <c r="F22" s="186">
        <f t="shared" si="11"/>
        <v>13.295721233882587</v>
      </c>
      <c r="G22" s="186">
        <f t="shared" si="11"/>
        <v>13.257811720034686</v>
      </c>
      <c r="H22" s="186">
        <f t="shared" si="11"/>
        <v>12.871916187901318</v>
      </c>
      <c r="I22" s="186">
        <f t="shared" si="11"/>
        <v>12.826997853410935</v>
      </c>
      <c r="J22" s="186">
        <f t="shared" si="11"/>
        <v>12.569674768575814</v>
      </c>
      <c r="K22" s="114">
        <f t="shared" si="11"/>
        <v>11.982166429045114</v>
      </c>
      <c r="L22" s="114">
        <f t="shared" si="11"/>
        <v>11.540769020998091</v>
      </c>
      <c r="M22" s="114">
        <f t="shared" si="11"/>
        <v>10.601202404809621</v>
      </c>
      <c r="N22" s="397">
        <f t="shared" si="11"/>
        <v>9.9172004374316511</v>
      </c>
    </row>
    <row r="23" spans="2:14" ht="22" customHeight="1" thickBot="1" x14ac:dyDescent="0.3">
      <c r="C23" s="134" t="s">
        <v>169</v>
      </c>
      <c r="D23" s="391">
        <f t="shared" ref="D23:N23" si="12">IF(OR(D14="",D22=""),"",D14*D22)</f>
        <v>132.91115998499473</v>
      </c>
      <c r="E23" s="392">
        <f t="shared" si="12"/>
        <v>130.42668780500452</v>
      </c>
      <c r="F23" s="392">
        <f t="shared" si="12"/>
        <v>128.09869791964948</v>
      </c>
      <c r="G23" s="392">
        <f t="shared" si="12"/>
        <v>127.36925478542689</v>
      </c>
      <c r="H23" s="392">
        <f t="shared" si="12"/>
        <v>120.06248286112755</v>
      </c>
      <c r="I23" s="392">
        <f t="shared" si="12"/>
        <v>119.22599560247012</v>
      </c>
      <c r="J23" s="392">
        <f t="shared" si="12"/>
        <v>114.49037955635612</v>
      </c>
      <c r="K23" s="392">
        <f t="shared" si="12"/>
        <v>104.03790748792444</v>
      </c>
      <c r="L23" s="392">
        <f t="shared" si="12"/>
        <v>96.514021446398004</v>
      </c>
      <c r="M23" s="392">
        <f t="shared" si="12"/>
        <v>81.438762628798045</v>
      </c>
      <c r="N23" s="393">
        <f t="shared" si="12"/>
        <v>71.268742403039525</v>
      </c>
    </row>
    <row r="24" spans="2:14" ht="22" customHeight="1" thickBot="1" x14ac:dyDescent="0.3">
      <c r="C24" s="134" t="s">
        <v>170</v>
      </c>
      <c r="D24" s="398">
        <f t="shared" ref="D24:N24" si="13">IF(OR(D17="",D23=""),"",D23/D17)</f>
        <v>0.98138898899333116</v>
      </c>
      <c r="E24" s="399">
        <f t="shared" si="13"/>
        <v>0.9721733004579074</v>
      </c>
      <c r="F24" s="399">
        <f t="shared" si="13"/>
        <v>0.96345806042627424</v>
      </c>
      <c r="G24" s="399">
        <f t="shared" si="13"/>
        <v>0.96071099420541217</v>
      </c>
      <c r="H24" s="399">
        <f t="shared" si="13"/>
        <v>0.93274754984792152</v>
      </c>
      <c r="I24" s="399">
        <f t="shared" si="13"/>
        <v>0.92949259807325613</v>
      </c>
      <c r="J24" s="399">
        <f t="shared" si="13"/>
        <v>0.9108459977228851</v>
      </c>
      <c r="K24" s="399">
        <f t="shared" si="13"/>
        <v>0.86827292964095015</v>
      </c>
      <c r="L24" s="400">
        <f t="shared" si="13"/>
        <v>0.83628761021725306</v>
      </c>
      <c r="M24" s="400">
        <f t="shared" si="13"/>
        <v>0.76820307281229139</v>
      </c>
      <c r="N24" s="154">
        <f t="shared" si="13"/>
        <v>0.718637712857366</v>
      </c>
    </row>
    <row r="25" spans="2:14" ht="22" customHeight="1" thickBot="1" x14ac:dyDescent="0.3">
      <c r="C25" s="401" t="s">
        <v>250</v>
      </c>
      <c r="D25" s="402">
        <f t="shared" ref="D25:N25" si="14">IF(D10="","",VLOOKUP(D10,distline_table,9,FALSE))</f>
        <v>13.368750000000002</v>
      </c>
      <c r="E25" s="403">
        <f t="shared" si="14"/>
        <v>74.37</v>
      </c>
      <c r="F25" s="404">
        <f t="shared" si="14"/>
        <v>26.737500000000004</v>
      </c>
      <c r="G25" s="404">
        <f t="shared" si="14"/>
        <v>21.017600000000002</v>
      </c>
      <c r="H25" s="403">
        <f t="shared" si="14"/>
        <v>181.85</v>
      </c>
      <c r="I25" s="403">
        <f t="shared" si="14"/>
        <v>53.475000000000009</v>
      </c>
      <c r="J25" s="404">
        <f t="shared" si="14"/>
        <v>6.7424999999999997</v>
      </c>
      <c r="K25" s="403">
        <f t="shared" si="14"/>
        <v>106.95000000000002</v>
      </c>
      <c r="L25" s="404">
        <f t="shared" si="14"/>
        <v>13.484999999999999</v>
      </c>
      <c r="M25" s="403">
        <f t="shared" si="14"/>
        <v>87</v>
      </c>
      <c r="N25" s="405">
        <f t="shared" si="14"/>
        <v>26.97</v>
      </c>
    </row>
    <row r="27" spans="2:14" ht="22" customHeight="1" thickBot="1" x14ac:dyDescent="0.3"/>
    <row r="28" spans="2:14" ht="22" customHeight="1" thickBot="1" x14ac:dyDescent="0.3">
      <c r="B28" s="1" t="s">
        <v>169</v>
      </c>
      <c r="C28" s="406">
        <v>290</v>
      </c>
      <c r="E28" s="1" t="s">
        <v>251</v>
      </c>
      <c r="G28" s="407"/>
      <c r="H28" s="407"/>
      <c r="I28" s="407"/>
      <c r="J28" s="407"/>
      <c r="K28" s="6">
        <v>290</v>
      </c>
      <c r="L28" s="1" t="s">
        <v>252</v>
      </c>
    </row>
    <row r="29" spans="2:14" ht="22" customHeight="1" thickBot="1" x14ac:dyDescent="0.3">
      <c r="B29" s="1" t="s">
        <v>234</v>
      </c>
      <c r="C29" s="368">
        <v>13.8</v>
      </c>
      <c r="E29" s="1" t="s">
        <v>235</v>
      </c>
    </row>
    <row r="30" spans="2:14" ht="21" customHeight="1" x14ac:dyDescent="0.25">
      <c r="B30" s="1" t="s">
        <v>239</v>
      </c>
      <c r="C30" s="287">
        <f>IF(OR(comp_cd_watts="",comp_cd_volts=""),"",comp_cd_watts/comp_cd_volts)</f>
        <v>21.014492753623188</v>
      </c>
    </row>
    <row r="32" spans="2:14" ht="21" customHeight="1" x14ac:dyDescent="0.25">
      <c r="D32" s="7" t="str">
        <f t="shared" ref="D32:N32" si="15">IF(OR(comp_cd_watts="",D47=""),"",IF(comp_cd_watts&lt;D47,"","HIGH RES"))</f>
        <v/>
      </c>
      <c r="E32" s="7" t="str">
        <f t="shared" si="15"/>
        <v/>
      </c>
      <c r="F32" s="7" t="str">
        <f t="shared" si="15"/>
        <v/>
      </c>
      <c r="G32" s="7" t="str">
        <f t="shared" si="15"/>
        <v/>
      </c>
      <c r="H32" s="7" t="str">
        <f t="shared" si="15"/>
        <v/>
      </c>
      <c r="I32" s="7" t="str">
        <f t="shared" si="15"/>
        <v/>
      </c>
      <c r="J32" s="7" t="str">
        <f t="shared" si="15"/>
        <v/>
      </c>
      <c r="K32" s="7" t="str">
        <f t="shared" si="15"/>
        <v>HIGH RES</v>
      </c>
      <c r="L32" s="7" t="str">
        <f t="shared" si="15"/>
        <v>HIGH RES</v>
      </c>
      <c r="M32" s="7" t="str">
        <f t="shared" si="15"/>
        <v>HIGH RES</v>
      </c>
      <c r="N32" s="7" t="str">
        <f t="shared" si="15"/>
        <v>HIGH RES</v>
      </c>
    </row>
    <row r="33" spans="3:14" ht="22" customHeight="1" thickBot="1" x14ac:dyDescent="0.3">
      <c r="C33" s="369" t="s">
        <v>161</v>
      </c>
      <c r="D33" s="370" t="s">
        <v>241</v>
      </c>
      <c r="E33" s="371" t="s">
        <v>100</v>
      </c>
      <c r="F33" s="371" t="s">
        <v>126</v>
      </c>
      <c r="G33" s="371" t="s">
        <v>242</v>
      </c>
      <c r="H33" s="371" t="s">
        <v>102</v>
      </c>
      <c r="I33" s="371" t="s">
        <v>243</v>
      </c>
      <c r="J33" s="371" t="s">
        <v>244</v>
      </c>
      <c r="K33" s="371" t="s">
        <v>103</v>
      </c>
      <c r="L33" s="371" t="s">
        <v>245</v>
      </c>
      <c r="M33" s="371" t="s">
        <v>246</v>
      </c>
      <c r="N33" s="372" t="s">
        <v>105</v>
      </c>
    </row>
    <row r="34" spans="3:14" ht="22" customHeight="1" thickTop="1" x14ac:dyDescent="0.25">
      <c r="C34" s="89" t="s">
        <v>159</v>
      </c>
      <c r="D34" s="373">
        <f t="shared" ref="D34:N34" si="16">IF(D33="","",VLOOKUP(D33,distline_table,2,FALSE))</f>
        <v>12.5</v>
      </c>
      <c r="E34" s="374">
        <f t="shared" si="16"/>
        <v>50</v>
      </c>
      <c r="F34" s="374">
        <f t="shared" si="16"/>
        <v>25</v>
      </c>
      <c r="G34" s="374">
        <f t="shared" si="16"/>
        <v>16.420000000000002</v>
      </c>
      <c r="H34" s="374">
        <f t="shared" si="16"/>
        <v>100</v>
      </c>
      <c r="I34" s="374">
        <f t="shared" si="16"/>
        <v>50</v>
      </c>
      <c r="J34" s="374">
        <f t="shared" si="16"/>
        <v>25</v>
      </c>
      <c r="K34" s="374">
        <f t="shared" si="16"/>
        <v>100</v>
      </c>
      <c r="L34" s="374">
        <f t="shared" si="16"/>
        <v>50</v>
      </c>
      <c r="M34" s="374">
        <f t="shared" si="16"/>
        <v>100</v>
      </c>
      <c r="N34" s="375">
        <f t="shared" si="16"/>
        <v>100</v>
      </c>
    </row>
    <row r="35" spans="3:14" ht="21" customHeight="1" x14ac:dyDescent="0.25">
      <c r="C35" s="89" t="s">
        <v>165</v>
      </c>
      <c r="D35" s="183">
        <f t="shared" ref="D35:N35" si="17">IF(D33="","",VLOOKUP(D33,distline_table,5,FALSE))</f>
        <v>1.04681E-3</v>
      </c>
      <c r="E35" s="141">
        <f t="shared" si="17"/>
        <v>3.9500000000000001E-4</v>
      </c>
      <c r="F35" s="141">
        <f t="shared" si="17"/>
        <v>1.04681E-3</v>
      </c>
      <c r="G35" s="141">
        <f t="shared" si="17"/>
        <v>1.7185185185185185E-3</v>
      </c>
      <c r="H35" s="141">
        <f t="shared" si="17"/>
        <v>4.975E-4</v>
      </c>
      <c r="I35" s="141">
        <f t="shared" si="17"/>
        <v>1.04681E-3</v>
      </c>
      <c r="J35" s="141">
        <f t="shared" si="17"/>
        <v>2.7014999999999999E-3</v>
      </c>
      <c r="K35" s="141">
        <f t="shared" si="17"/>
        <v>1.04681E-3</v>
      </c>
      <c r="L35" s="141">
        <f t="shared" si="17"/>
        <v>2.7014999999999999E-3</v>
      </c>
      <c r="M35" s="141">
        <f t="shared" si="17"/>
        <v>2.0820000000000001E-3</v>
      </c>
      <c r="N35" s="376">
        <f t="shared" si="17"/>
        <v>2.7014999999999999E-3</v>
      </c>
    </row>
    <row r="36" spans="3:14" ht="22" customHeight="1" thickBot="1" x14ac:dyDescent="0.3">
      <c r="C36" s="89" t="s">
        <v>162</v>
      </c>
      <c r="D36" s="377">
        <f t="shared" ref="D36:N36" si="18">IF(D34="","",D34*2)</f>
        <v>25</v>
      </c>
      <c r="E36" s="378">
        <f t="shared" si="18"/>
        <v>100</v>
      </c>
      <c r="F36" s="378">
        <f t="shared" si="18"/>
        <v>50</v>
      </c>
      <c r="G36" s="378">
        <f t="shared" si="18"/>
        <v>32.840000000000003</v>
      </c>
      <c r="H36" s="378">
        <f t="shared" si="18"/>
        <v>200</v>
      </c>
      <c r="I36" s="378">
        <f t="shared" si="18"/>
        <v>100</v>
      </c>
      <c r="J36" s="378">
        <f t="shared" si="18"/>
        <v>50</v>
      </c>
      <c r="K36" s="378">
        <f t="shared" si="18"/>
        <v>200</v>
      </c>
      <c r="L36" s="378">
        <f t="shared" si="18"/>
        <v>100</v>
      </c>
      <c r="M36" s="378">
        <f t="shared" si="18"/>
        <v>200</v>
      </c>
      <c r="N36" s="379">
        <f t="shared" si="18"/>
        <v>200</v>
      </c>
    </row>
    <row r="37" spans="3:14" ht="21" customHeight="1" x14ac:dyDescent="0.25">
      <c r="C37" s="387" t="s">
        <v>247</v>
      </c>
      <c r="D37" s="380">
        <f t="shared" ref="D37:N37" si="19">IF(OR(D39="",comp_cd_watts="",D43=""),"",(comp_cd_watts+D43)/D39)</f>
        <v>21.926200276540733</v>
      </c>
      <c r="E37" s="186">
        <f t="shared" si="19"/>
        <v>22.458157135171589</v>
      </c>
      <c r="F37" s="186">
        <f t="shared" si="19"/>
        <v>23.025294018847212</v>
      </c>
      <c r="G37" s="186">
        <f t="shared" si="19"/>
        <v>23.219336952662733</v>
      </c>
      <c r="H37" s="186">
        <f t="shared" si="19"/>
        <v>25.822067028075416</v>
      </c>
      <c r="I37" s="186">
        <f t="shared" si="19"/>
        <v>26.23576304239397</v>
      </c>
      <c r="J37" s="186">
        <f t="shared" si="19"/>
        <v>29.577148945166115</v>
      </c>
      <c r="K37" s="186" t="str">
        <f t="shared" si="19"/>
        <v/>
      </c>
      <c r="L37" s="186" t="str">
        <f t="shared" si="19"/>
        <v/>
      </c>
      <c r="M37" s="186" t="str">
        <f t="shared" si="19"/>
        <v/>
      </c>
      <c r="N37" s="381" t="str">
        <f t="shared" si="19"/>
        <v/>
      </c>
    </row>
    <row r="38" spans="3:14" ht="21" customHeight="1" x14ac:dyDescent="0.25">
      <c r="C38" s="89" t="s">
        <v>248</v>
      </c>
      <c r="D38" s="382">
        <f t="shared" ref="D38:N38" si="20">IF(OR(D39="",D37=""),"",D39/D37)</f>
        <v>0.62938401665357802</v>
      </c>
      <c r="E38" s="105">
        <f t="shared" si="20"/>
        <v>0.61447606395040766</v>
      </c>
      <c r="F38" s="105">
        <f t="shared" si="20"/>
        <v>0.59934088088969006</v>
      </c>
      <c r="G38" s="105">
        <f t="shared" si="20"/>
        <v>0.59433221664055536</v>
      </c>
      <c r="H38" s="105">
        <f t="shared" si="20"/>
        <v>0.53442661987499884</v>
      </c>
      <c r="I38" s="105">
        <f t="shared" si="20"/>
        <v>0.52599956699184969</v>
      </c>
      <c r="J38" s="105">
        <f t="shared" si="20"/>
        <v>0.46657641091723201</v>
      </c>
      <c r="K38" s="105" t="str">
        <f t="shared" si="20"/>
        <v/>
      </c>
      <c r="L38" s="105" t="str">
        <f t="shared" si="20"/>
        <v/>
      </c>
      <c r="M38" s="105" t="str">
        <f t="shared" si="20"/>
        <v/>
      </c>
      <c r="N38" s="383" t="str">
        <f t="shared" si="20"/>
        <v/>
      </c>
    </row>
    <row r="39" spans="3:14" ht="21" customHeight="1" x14ac:dyDescent="0.25">
      <c r="C39" s="89" t="s">
        <v>234</v>
      </c>
      <c r="D39" s="408">
        <f t="shared" ref="D39:N39" si="21">IF(comp_cd_volts="","",comp_cd_volts)</f>
        <v>13.8</v>
      </c>
      <c r="E39" s="109">
        <f t="shared" si="21"/>
        <v>13.8</v>
      </c>
      <c r="F39" s="109">
        <f t="shared" si="21"/>
        <v>13.8</v>
      </c>
      <c r="G39" s="109">
        <f t="shared" si="21"/>
        <v>13.8</v>
      </c>
      <c r="H39" s="109">
        <f t="shared" si="21"/>
        <v>13.8</v>
      </c>
      <c r="I39" s="54">
        <f t="shared" si="21"/>
        <v>13.8</v>
      </c>
      <c r="J39" s="54">
        <f t="shared" si="21"/>
        <v>13.8</v>
      </c>
      <c r="K39" s="54">
        <f t="shared" si="21"/>
        <v>13.8</v>
      </c>
      <c r="L39" s="54">
        <f t="shared" si="21"/>
        <v>13.8</v>
      </c>
      <c r="M39" s="54">
        <f t="shared" si="21"/>
        <v>13.8</v>
      </c>
      <c r="N39" s="384">
        <f t="shared" si="21"/>
        <v>13.8</v>
      </c>
    </row>
    <row r="40" spans="3:14" ht="22" customHeight="1" thickBot="1" x14ac:dyDescent="0.3">
      <c r="C40" s="134" t="s">
        <v>249</v>
      </c>
      <c r="D40" s="391">
        <f t="shared" ref="D40:N40" si="22">IF(OR(D39="",D37=""),"",D39*D37)</f>
        <v>302.58156381626213</v>
      </c>
      <c r="E40" s="392">
        <f t="shared" si="22"/>
        <v>309.92256846536793</v>
      </c>
      <c r="F40" s="392">
        <f t="shared" si="22"/>
        <v>317.74905746009154</v>
      </c>
      <c r="G40" s="392">
        <f t="shared" si="22"/>
        <v>320.42684994674573</v>
      </c>
      <c r="H40" s="392">
        <f t="shared" si="22"/>
        <v>356.34452498744076</v>
      </c>
      <c r="I40" s="143">
        <f t="shared" si="22"/>
        <v>362.05352998503679</v>
      </c>
      <c r="J40" s="143">
        <f t="shared" si="22"/>
        <v>408.16465544329242</v>
      </c>
      <c r="K40" s="143" t="str">
        <f t="shared" si="22"/>
        <v/>
      </c>
      <c r="L40" s="143" t="str">
        <f t="shared" si="22"/>
        <v/>
      </c>
      <c r="M40" s="143" t="str">
        <f t="shared" si="22"/>
        <v/>
      </c>
      <c r="N40" s="386" t="str">
        <f t="shared" si="22"/>
        <v/>
      </c>
    </row>
    <row r="41" spans="3:14" ht="21" customHeight="1" x14ac:dyDescent="0.25">
      <c r="C41" s="387" t="s">
        <v>163</v>
      </c>
      <c r="D41" s="388">
        <f t="shared" ref="D41:N41" si="23">IF(OR(D35="",D36=""),"",D35*D36)</f>
        <v>2.6170249999999999E-2</v>
      </c>
      <c r="E41" s="389">
        <f t="shared" si="23"/>
        <v>3.95E-2</v>
      </c>
      <c r="F41" s="389">
        <f t="shared" si="23"/>
        <v>5.2340499999999998E-2</v>
      </c>
      <c r="G41" s="389">
        <f t="shared" si="23"/>
        <v>5.6436148148148152E-2</v>
      </c>
      <c r="H41" s="389">
        <f t="shared" si="23"/>
        <v>9.9500000000000005E-2</v>
      </c>
      <c r="I41" s="389">
        <f t="shared" si="23"/>
        <v>0.104681</v>
      </c>
      <c r="J41" s="389">
        <f t="shared" si="23"/>
        <v>0.135075</v>
      </c>
      <c r="K41" s="389">
        <f t="shared" si="23"/>
        <v>0.20936199999999999</v>
      </c>
      <c r="L41" s="389">
        <f t="shared" si="23"/>
        <v>0.27015</v>
      </c>
      <c r="M41" s="389">
        <f t="shared" si="23"/>
        <v>0.41639999999999999</v>
      </c>
      <c r="N41" s="390">
        <f t="shared" si="23"/>
        <v>0.5403</v>
      </c>
    </row>
    <row r="42" spans="3:14" ht="21" customHeight="1" x14ac:dyDescent="0.25">
      <c r="C42" s="89" t="s">
        <v>166</v>
      </c>
      <c r="D42" s="382">
        <f t="shared" ref="D42:N42" si="24">IF(OR(D37="",D41=""),"",D37*D41)</f>
        <v>0.57381414278714005</v>
      </c>
      <c r="E42" s="105">
        <f t="shared" si="24"/>
        <v>0.88709720683927784</v>
      </c>
      <c r="F42" s="105">
        <f t="shared" si="24"/>
        <v>1.2051554015934725</v>
      </c>
      <c r="G42" s="105">
        <f t="shared" si="24"/>
        <v>1.3104099401622449</v>
      </c>
      <c r="H42" s="105">
        <f t="shared" si="24"/>
        <v>2.5692956692935041</v>
      </c>
      <c r="I42" s="105">
        <f t="shared" si="24"/>
        <v>2.7463859110408428</v>
      </c>
      <c r="J42" s="105">
        <f t="shared" si="24"/>
        <v>3.9951333937683131</v>
      </c>
      <c r="K42" s="105" t="str">
        <f t="shared" si="24"/>
        <v/>
      </c>
      <c r="L42" s="105" t="str">
        <f t="shared" si="24"/>
        <v/>
      </c>
      <c r="M42" s="105" t="str">
        <f t="shared" si="24"/>
        <v/>
      </c>
      <c r="N42" s="383" t="str">
        <f t="shared" si="24"/>
        <v/>
      </c>
    </row>
    <row r="43" spans="3:14" ht="22" customHeight="1" thickBot="1" x14ac:dyDescent="0.3">
      <c r="C43" s="134" t="s">
        <v>167</v>
      </c>
      <c r="D43" s="391">
        <f t="shared" ref="D43:N43" si="25">IF(AND(D39&lt;&gt;"",comp_cd_watts&lt;&gt;"",D41&lt;&gt;""),IF(comp_cd_watts&gt;D47,"",(-SQRT(POWER(D39,4)-4*comp_cd_watts*D41*POWER(D39,2))/D41-2*comp_cd_watts+POWER(D39,2)/D41)/2),"")</f>
        <v>12.581563816262133</v>
      </c>
      <c r="E43" s="392">
        <f t="shared" si="25"/>
        <v>19.922568465367931</v>
      </c>
      <c r="F43" s="392">
        <f t="shared" si="25"/>
        <v>27.749057460091535</v>
      </c>
      <c r="G43" s="392">
        <f t="shared" si="25"/>
        <v>30.426849946745733</v>
      </c>
      <c r="H43" s="392">
        <f t="shared" si="25"/>
        <v>66.344524987440764</v>
      </c>
      <c r="I43" s="392">
        <f t="shared" si="25"/>
        <v>72.053529985036789</v>
      </c>
      <c r="J43" s="392">
        <f t="shared" si="25"/>
        <v>118.16465544329242</v>
      </c>
      <c r="K43" s="392" t="str">
        <f t="shared" si="25"/>
        <v/>
      </c>
      <c r="L43" s="392" t="str">
        <f t="shared" si="25"/>
        <v/>
      </c>
      <c r="M43" s="392" t="str">
        <f t="shared" si="25"/>
        <v/>
      </c>
      <c r="N43" s="393" t="str">
        <f t="shared" si="25"/>
        <v/>
      </c>
    </row>
    <row r="44" spans="3:14" ht="21" customHeight="1" x14ac:dyDescent="0.25">
      <c r="C44" s="387" t="s">
        <v>160</v>
      </c>
      <c r="D44" s="409">
        <f t="shared" ref="D44:N44" si="26">IF(OR(D46="",D37=""),"",D46/POWER(D37,2))</f>
        <v>0.60321376665357862</v>
      </c>
      <c r="E44" s="99">
        <f t="shared" si="26"/>
        <v>0.57497606395040834</v>
      </c>
      <c r="F44" s="99">
        <f t="shared" si="26"/>
        <v>0.54700038088969016</v>
      </c>
      <c r="G44" s="99">
        <f t="shared" si="26"/>
        <v>0.53789606849240734</v>
      </c>
      <c r="H44" s="99">
        <f t="shared" si="26"/>
        <v>0.43492661987499875</v>
      </c>
      <c r="I44" s="99">
        <f t="shared" si="26"/>
        <v>0.42131856699184972</v>
      </c>
      <c r="J44" s="99">
        <f t="shared" si="26"/>
        <v>0.33150141091723195</v>
      </c>
      <c r="K44" s="99" t="str">
        <f t="shared" si="26"/>
        <v/>
      </c>
      <c r="L44" s="99" t="str">
        <f t="shared" si="26"/>
        <v/>
      </c>
      <c r="M44" s="99" t="str">
        <f t="shared" si="26"/>
        <v/>
      </c>
      <c r="N44" s="410" t="str">
        <f t="shared" si="26"/>
        <v/>
      </c>
    </row>
    <row r="45" spans="3:14" ht="21" customHeight="1" x14ac:dyDescent="0.25">
      <c r="C45" s="89" t="s">
        <v>168</v>
      </c>
      <c r="D45" s="380">
        <f t="shared" ref="D45:N45" si="27">IF(OR(D46="",D37=""),"",D46/D37)</f>
        <v>13.226185857212872</v>
      </c>
      <c r="E45" s="186">
        <f t="shared" si="27"/>
        <v>12.91290279316074</v>
      </c>
      <c r="F45" s="186">
        <f t="shared" si="27"/>
        <v>12.59484459840653</v>
      </c>
      <c r="G45" s="186">
        <f t="shared" si="27"/>
        <v>12.489590059837758</v>
      </c>
      <c r="H45" s="186">
        <f t="shared" si="27"/>
        <v>11.230704330706496</v>
      </c>
      <c r="I45" s="186">
        <f t="shared" si="27"/>
        <v>11.05361408895916</v>
      </c>
      <c r="J45" s="186">
        <f t="shared" si="27"/>
        <v>9.8048666062316858</v>
      </c>
      <c r="K45" s="186" t="str">
        <f t="shared" si="27"/>
        <v/>
      </c>
      <c r="L45" s="186" t="str">
        <f t="shared" si="27"/>
        <v/>
      </c>
      <c r="M45" s="186" t="str">
        <f t="shared" si="27"/>
        <v/>
      </c>
      <c r="N45" s="381" t="str">
        <f t="shared" si="27"/>
        <v/>
      </c>
    </row>
    <row r="46" spans="3:14" ht="21" customHeight="1" x14ac:dyDescent="0.25">
      <c r="C46" s="89" t="s">
        <v>169</v>
      </c>
      <c r="D46" s="411">
        <f t="shared" ref="D46:N46" si="28">IF(comp_cd_watts&lt;&gt;"",comp_cd_watts,IF(OR(D40="",D43=""),"",D40-D43))</f>
        <v>290</v>
      </c>
      <c r="E46" s="60">
        <f t="shared" si="28"/>
        <v>290</v>
      </c>
      <c r="F46" s="60">
        <f t="shared" si="28"/>
        <v>290</v>
      </c>
      <c r="G46" s="60">
        <f t="shared" si="28"/>
        <v>290</v>
      </c>
      <c r="H46" s="60">
        <f t="shared" si="28"/>
        <v>290</v>
      </c>
      <c r="I46" s="60">
        <f t="shared" si="28"/>
        <v>290</v>
      </c>
      <c r="J46" s="60">
        <f t="shared" si="28"/>
        <v>290</v>
      </c>
      <c r="K46" s="60">
        <f t="shared" si="28"/>
        <v>290</v>
      </c>
      <c r="L46" s="60">
        <f t="shared" si="28"/>
        <v>290</v>
      </c>
      <c r="M46" s="60">
        <f t="shared" si="28"/>
        <v>290</v>
      </c>
      <c r="N46" s="412">
        <f t="shared" si="28"/>
        <v>290</v>
      </c>
    </row>
    <row r="47" spans="3:14" ht="22" customHeight="1" thickBot="1" x14ac:dyDescent="0.3">
      <c r="C47" s="134" t="s">
        <v>253</v>
      </c>
      <c r="D47" s="391">
        <f t="shared" ref="D47:N47" si="29">IF(OR(D39="",D41=""),"",POWER(D39,2)/(D41*4))</f>
        <v>1819.2413140875615</v>
      </c>
      <c r="E47" s="392">
        <f t="shared" si="29"/>
        <v>1205.3164556962026</v>
      </c>
      <c r="F47" s="392">
        <f t="shared" si="29"/>
        <v>909.62065704378074</v>
      </c>
      <c r="G47" s="392">
        <f t="shared" si="29"/>
        <v>843.60824688143146</v>
      </c>
      <c r="H47" s="392">
        <f t="shared" si="29"/>
        <v>478.49246231155786</v>
      </c>
      <c r="I47" s="392">
        <f t="shared" si="29"/>
        <v>454.81032852189037</v>
      </c>
      <c r="J47" s="392">
        <f t="shared" si="29"/>
        <v>352.47084952804005</v>
      </c>
      <c r="K47" s="392">
        <f t="shared" si="29"/>
        <v>227.40516426094518</v>
      </c>
      <c r="L47" s="392">
        <f t="shared" si="29"/>
        <v>176.23542476402002</v>
      </c>
      <c r="M47" s="392">
        <f t="shared" si="29"/>
        <v>114.33717579250722</v>
      </c>
      <c r="N47" s="393">
        <f t="shared" si="29"/>
        <v>88.117712382010012</v>
      </c>
    </row>
    <row r="48" spans="3:14" ht="22" customHeight="1" thickBot="1" x14ac:dyDescent="0.3">
      <c r="C48" s="401" t="s">
        <v>170</v>
      </c>
      <c r="D48" s="413">
        <f t="shared" ref="D48:N48" si="30">IF(OR(D40="",D46=""),"",D46/D40)</f>
        <v>0.9584192650154254</v>
      </c>
      <c r="E48" s="414">
        <f t="shared" si="30"/>
        <v>0.9357175937072999</v>
      </c>
      <c r="F48" s="414">
        <f t="shared" si="30"/>
        <v>0.91266989843525581</v>
      </c>
      <c r="G48" s="414">
        <f t="shared" si="30"/>
        <v>0.9050427579592577</v>
      </c>
      <c r="H48" s="414">
        <f t="shared" si="30"/>
        <v>0.81381915439902142</v>
      </c>
      <c r="I48" s="414">
        <f t="shared" si="30"/>
        <v>0.80098652818544636</v>
      </c>
      <c r="J48" s="414">
        <f t="shared" si="30"/>
        <v>0.71049758016171638</v>
      </c>
      <c r="K48" s="414" t="str">
        <f t="shared" si="30"/>
        <v/>
      </c>
      <c r="L48" s="414" t="str">
        <f t="shared" si="30"/>
        <v/>
      </c>
      <c r="M48" s="414" t="str">
        <f t="shared" si="30"/>
        <v/>
      </c>
      <c r="N48" s="415" t="str">
        <f t="shared" si="30"/>
        <v/>
      </c>
    </row>
    <row r="49" spans="2:14" ht="22" customHeight="1" thickBot="1" x14ac:dyDescent="0.3">
      <c r="C49" s="401" t="s">
        <v>250</v>
      </c>
      <c r="D49" s="402">
        <f t="shared" ref="D49:N49" si="31">IF(D33="","",VLOOKUP(D33,distline_table,9,FALSE))</f>
        <v>13.368750000000002</v>
      </c>
      <c r="E49" s="403">
        <f t="shared" si="31"/>
        <v>74.37</v>
      </c>
      <c r="F49" s="404">
        <f t="shared" si="31"/>
        <v>26.737500000000004</v>
      </c>
      <c r="G49" s="404">
        <f t="shared" si="31"/>
        <v>21.017600000000002</v>
      </c>
      <c r="H49" s="403">
        <f t="shared" si="31"/>
        <v>181.85</v>
      </c>
      <c r="I49" s="403">
        <f t="shared" si="31"/>
        <v>53.475000000000009</v>
      </c>
      <c r="J49" s="404">
        <f t="shared" si="31"/>
        <v>6.7424999999999997</v>
      </c>
      <c r="K49" s="403">
        <f t="shared" si="31"/>
        <v>106.95000000000002</v>
      </c>
      <c r="L49" s="404">
        <f t="shared" si="31"/>
        <v>13.484999999999999</v>
      </c>
      <c r="M49" s="403">
        <f t="shared" si="31"/>
        <v>87</v>
      </c>
      <c r="N49" s="405">
        <f t="shared" si="31"/>
        <v>26.97</v>
      </c>
    </row>
    <row r="51" spans="2:14" ht="22" customHeight="1" thickBot="1" x14ac:dyDescent="0.3"/>
    <row r="52" spans="2:14" ht="22" customHeight="1" thickBot="1" x14ac:dyDescent="0.3">
      <c r="B52" s="1" t="s">
        <v>249</v>
      </c>
      <c r="C52" s="416">
        <v>600</v>
      </c>
      <c r="E52" s="1" t="s">
        <v>254</v>
      </c>
    </row>
    <row r="53" spans="2:14" ht="22" customHeight="1" thickBot="1" x14ac:dyDescent="0.3">
      <c r="B53" s="1" t="s">
        <v>234</v>
      </c>
      <c r="C53" s="368">
        <v>29.5</v>
      </c>
      <c r="E53" s="1" t="s">
        <v>235</v>
      </c>
    </row>
    <row r="54" spans="2:14" ht="21" customHeight="1" x14ac:dyDescent="0.25">
      <c r="B54" s="1" t="s">
        <v>255</v>
      </c>
      <c r="C54" s="287">
        <f>comp_cs_volts*1.5</f>
        <v>44.25</v>
      </c>
      <c r="E54" s="1" t="s">
        <v>256</v>
      </c>
    </row>
    <row r="55" spans="2:14" ht="21" customHeight="1" x14ac:dyDescent="0.25">
      <c r="E55" s="1" t="s">
        <v>257</v>
      </c>
    </row>
    <row r="56" spans="2:14" ht="21" customHeight="1" x14ac:dyDescent="0.25">
      <c r="D56" s="7" t="str">
        <f t="shared" ref="D56:J56" si="32">IF(OR(D18="",D65=""),"",IF(D65&gt;D62,"HIGH RES",""))</f>
        <v/>
      </c>
      <c r="E56" s="7" t="str">
        <f t="shared" si="32"/>
        <v/>
      </c>
      <c r="F56" s="7" t="str">
        <f t="shared" si="32"/>
        <v/>
      </c>
      <c r="G56" s="7" t="str">
        <f t="shared" si="32"/>
        <v/>
      </c>
      <c r="H56" s="7" t="str">
        <f t="shared" si="32"/>
        <v/>
      </c>
      <c r="I56" s="7" t="str">
        <f t="shared" si="32"/>
        <v/>
      </c>
      <c r="J56" s="7" t="str">
        <f t="shared" si="32"/>
        <v/>
      </c>
      <c r="K56" s="7" t="str">
        <f>IF(OR(comp_cd_watts="",K71=""),"",IF(comp_cd_watts&lt;K71,"","HIGH RES"))</f>
        <v/>
      </c>
      <c r="L56" s="7" t="str">
        <f>IF(OR(comp_cd_watts="",L71=""),"",IF(comp_cd_watts&lt;L71,"","HIGH RES"))</f>
        <v/>
      </c>
      <c r="M56" s="7" t="str">
        <f>IF(OR(comp_cd_watts="",M71=""),"",IF(comp_cd_watts&lt;M71,"","HIGH RES"))</f>
        <v/>
      </c>
      <c r="N56" s="7" t="str">
        <f>IF(OR(comp_cd_watts="",N71=""),"",IF(comp_cd_watts&lt;N71,"","HIGH RES"))</f>
        <v/>
      </c>
    </row>
    <row r="57" spans="2:14" ht="22" customHeight="1" thickBot="1" x14ac:dyDescent="0.3">
      <c r="C57" s="369" t="s">
        <v>258</v>
      </c>
      <c r="D57" s="370" t="s">
        <v>241</v>
      </c>
      <c r="E57" s="371" t="s">
        <v>100</v>
      </c>
      <c r="F57" s="371" t="s">
        <v>126</v>
      </c>
      <c r="G57" s="371" t="s">
        <v>242</v>
      </c>
      <c r="H57" s="371" t="s">
        <v>102</v>
      </c>
      <c r="I57" s="371" t="s">
        <v>243</v>
      </c>
      <c r="J57" s="371" t="s">
        <v>244</v>
      </c>
      <c r="K57" s="371" t="s">
        <v>103</v>
      </c>
      <c r="L57" s="371" t="s">
        <v>245</v>
      </c>
      <c r="M57" s="371" t="s">
        <v>246</v>
      </c>
      <c r="N57" s="372" t="s">
        <v>105</v>
      </c>
    </row>
    <row r="58" spans="2:14" ht="22" customHeight="1" thickTop="1" x14ac:dyDescent="0.25">
      <c r="C58" s="89" t="s">
        <v>259</v>
      </c>
      <c r="D58" s="373">
        <f t="shared" ref="D58:N58" si="33">IF(D57="","",VLOOKUP(D57,distline_table,2,FALSE))</f>
        <v>12.5</v>
      </c>
      <c r="E58" s="374">
        <f t="shared" si="33"/>
        <v>50</v>
      </c>
      <c r="F58" s="374">
        <f t="shared" si="33"/>
        <v>25</v>
      </c>
      <c r="G58" s="374">
        <f t="shared" si="33"/>
        <v>16.420000000000002</v>
      </c>
      <c r="H58" s="374">
        <f t="shared" si="33"/>
        <v>100</v>
      </c>
      <c r="I58" s="374">
        <f t="shared" si="33"/>
        <v>50</v>
      </c>
      <c r="J58" s="374">
        <f t="shared" si="33"/>
        <v>25</v>
      </c>
      <c r="K58" s="374">
        <f t="shared" si="33"/>
        <v>100</v>
      </c>
      <c r="L58" s="374">
        <f t="shared" si="33"/>
        <v>50</v>
      </c>
      <c r="M58" s="374">
        <f t="shared" si="33"/>
        <v>100</v>
      </c>
      <c r="N58" s="375">
        <f t="shared" si="33"/>
        <v>100</v>
      </c>
    </row>
    <row r="59" spans="2:14" ht="21" customHeight="1" x14ac:dyDescent="0.25">
      <c r="C59" s="89" t="s">
        <v>31</v>
      </c>
      <c r="D59" s="183">
        <f t="shared" ref="D59:N59" si="34">IF(D57="","",VLOOKUP(D57,distline_table,5,FALSE))</f>
        <v>1.04681E-3</v>
      </c>
      <c r="E59" s="141">
        <f t="shared" si="34"/>
        <v>3.9500000000000001E-4</v>
      </c>
      <c r="F59" s="141">
        <f t="shared" si="34"/>
        <v>1.04681E-3</v>
      </c>
      <c r="G59" s="141">
        <f t="shared" si="34"/>
        <v>1.7185185185185185E-3</v>
      </c>
      <c r="H59" s="141">
        <f t="shared" si="34"/>
        <v>4.975E-4</v>
      </c>
      <c r="I59" s="141">
        <f t="shared" si="34"/>
        <v>1.04681E-3</v>
      </c>
      <c r="J59" s="141">
        <f t="shared" si="34"/>
        <v>2.7014999999999999E-3</v>
      </c>
      <c r="K59" s="141">
        <f t="shared" si="34"/>
        <v>1.04681E-3</v>
      </c>
      <c r="L59" s="141">
        <f t="shared" si="34"/>
        <v>2.7014999999999999E-3</v>
      </c>
      <c r="M59" s="141">
        <f t="shared" si="34"/>
        <v>2.0820000000000001E-3</v>
      </c>
      <c r="N59" s="376">
        <f t="shared" si="34"/>
        <v>2.7014999999999999E-3</v>
      </c>
    </row>
    <row r="60" spans="2:14" ht="22" customHeight="1" thickBot="1" x14ac:dyDescent="0.3">
      <c r="C60" s="89" t="s">
        <v>260</v>
      </c>
      <c r="D60" s="377">
        <f t="shared" ref="D60:N60" si="35">IF(D58="","",D58*2)</f>
        <v>25</v>
      </c>
      <c r="E60" s="378">
        <f t="shared" si="35"/>
        <v>100</v>
      </c>
      <c r="F60" s="378">
        <f t="shared" si="35"/>
        <v>50</v>
      </c>
      <c r="G60" s="378">
        <f t="shared" si="35"/>
        <v>32.840000000000003</v>
      </c>
      <c r="H60" s="378">
        <f t="shared" si="35"/>
        <v>200</v>
      </c>
      <c r="I60" s="378">
        <f t="shared" si="35"/>
        <v>100</v>
      </c>
      <c r="J60" s="378">
        <f t="shared" si="35"/>
        <v>50</v>
      </c>
      <c r="K60" s="378">
        <f t="shared" si="35"/>
        <v>200</v>
      </c>
      <c r="L60" s="378">
        <f t="shared" si="35"/>
        <v>100</v>
      </c>
      <c r="M60" s="378">
        <f t="shared" si="35"/>
        <v>200</v>
      </c>
      <c r="N60" s="379">
        <f t="shared" si="35"/>
        <v>200</v>
      </c>
    </row>
    <row r="61" spans="2:14" ht="21" customHeight="1" x14ac:dyDescent="0.25">
      <c r="C61" s="387" t="s">
        <v>261</v>
      </c>
      <c r="D61" s="417">
        <f t="shared" ref="D61:N61" si="36">IF(OR(D63="",D64=""),"",D64/D63)</f>
        <v>20.338983050847457</v>
      </c>
      <c r="E61" s="418">
        <f t="shared" si="36"/>
        <v>20.338983050847457</v>
      </c>
      <c r="F61" s="418">
        <f t="shared" si="36"/>
        <v>20.338983050847457</v>
      </c>
      <c r="G61" s="418">
        <f t="shared" si="36"/>
        <v>20.338983050847457</v>
      </c>
      <c r="H61" s="418">
        <f t="shared" si="36"/>
        <v>20.338983050847457</v>
      </c>
      <c r="I61" s="418">
        <f t="shared" si="36"/>
        <v>20.338983050847457</v>
      </c>
      <c r="J61" s="418">
        <f t="shared" si="36"/>
        <v>20.338983050847457</v>
      </c>
      <c r="K61" s="418">
        <f t="shared" si="36"/>
        <v>20.338983050847457</v>
      </c>
      <c r="L61" s="418">
        <f t="shared" si="36"/>
        <v>20.338983050847457</v>
      </c>
      <c r="M61" s="418">
        <f t="shared" si="36"/>
        <v>20.338983050847457</v>
      </c>
      <c r="N61" s="419">
        <f t="shared" si="36"/>
        <v>20.338983050847457</v>
      </c>
    </row>
    <row r="62" spans="2:14" ht="21" customHeight="1" x14ac:dyDescent="0.25">
      <c r="C62" s="89" t="s">
        <v>262</v>
      </c>
      <c r="D62" s="420">
        <f t="shared" ref="D62:N62" si="37">IF(OR(D61="",D63=""),"",D63/D61)</f>
        <v>1.4504166666666667</v>
      </c>
      <c r="E62" s="55">
        <f t="shared" si="37"/>
        <v>1.4504166666666667</v>
      </c>
      <c r="F62" s="55">
        <f t="shared" si="37"/>
        <v>1.4504166666666667</v>
      </c>
      <c r="G62" s="55">
        <f t="shared" si="37"/>
        <v>1.4504166666666667</v>
      </c>
      <c r="H62" s="55">
        <f t="shared" si="37"/>
        <v>1.4504166666666667</v>
      </c>
      <c r="I62" s="55">
        <f t="shared" si="37"/>
        <v>1.4504166666666667</v>
      </c>
      <c r="J62" s="55">
        <f t="shared" si="37"/>
        <v>1.4504166666666667</v>
      </c>
      <c r="K62" s="55">
        <f t="shared" si="37"/>
        <v>1.4504166666666667</v>
      </c>
      <c r="L62" s="55">
        <f t="shared" si="37"/>
        <v>1.4504166666666667</v>
      </c>
      <c r="M62" s="55">
        <f t="shared" si="37"/>
        <v>1.4504166666666667</v>
      </c>
      <c r="N62" s="421">
        <f t="shared" si="37"/>
        <v>1.4504166666666667</v>
      </c>
    </row>
    <row r="63" spans="2:14" ht="21" customHeight="1" x14ac:dyDescent="0.25">
      <c r="C63" s="89" t="s">
        <v>263</v>
      </c>
      <c r="D63" s="408">
        <f t="shared" ref="D63:N63" si="38">IF(comp_cs_volts="","",comp_cs_volts)</f>
        <v>29.5</v>
      </c>
      <c r="E63" s="109">
        <f t="shared" si="38"/>
        <v>29.5</v>
      </c>
      <c r="F63" s="109">
        <f t="shared" si="38"/>
        <v>29.5</v>
      </c>
      <c r="G63" s="109">
        <f t="shared" si="38"/>
        <v>29.5</v>
      </c>
      <c r="H63" s="109">
        <f t="shared" si="38"/>
        <v>29.5</v>
      </c>
      <c r="I63" s="109">
        <f t="shared" si="38"/>
        <v>29.5</v>
      </c>
      <c r="J63" s="109">
        <f t="shared" si="38"/>
        <v>29.5</v>
      </c>
      <c r="K63" s="109">
        <f t="shared" si="38"/>
        <v>29.5</v>
      </c>
      <c r="L63" s="109">
        <f t="shared" si="38"/>
        <v>29.5</v>
      </c>
      <c r="M63" s="109">
        <f t="shared" si="38"/>
        <v>29.5</v>
      </c>
      <c r="N63" s="422">
        <f t="shared" si="38"/>
        <v>29.5</v>
      </c>
    </row>
    <row r="64" spans="2:14" ht="22" customHeight="1" thickBot="1" x14ac:dyDescent="0.3">
      <c r="C64" s="134" t="s">
        <v>264</v>
      </c>
      <c r="D64" s="423">
        <f t="shared" ref="D64:N64" si="39">IF(comp_cs_watts="","",comp_cs_watts)</f>
        <v>600</v>
      </c>
      <c r="E64" s="424">
        <f t="shared" si="39"/>
        <v>600</v>
      </c>
      <c r="F64" s="424">
        <f t="shared" si="39"/>
        <v>600</v>
      </c>
      <c r="G64" s="424">
        <f t="shared" si="39"/>
        <v>600</v>
      </c>
      <c r="H64" s="424">
        <f t="shared" si="39"/>
        <v>600</v>
      </c>
      <c r="I64" s="424">
        <f t="shared" si="39"/>
        <v>600</v>
      </c>
      <c r="J64" s="424">
        <f t="shared" si="39"/>
        <v>600</v>
      </c>
      <c r="K64" s="424">
        <f t="shared" si="39"/>
        <v>600</v>
      </c>
      <c r="L64" s="424">
        <f t="shared" si="39"/>
        <v>600</v>
      </c>
      <c r="M64" s="424">
        <f t="shared" si="39"/>
        <v>600</v>
      </c>
      <c r="N64" s="425">
        <f t="shared" si="39"/>
        <v>600</v>
      </c>
    </row>
    <row r="65" spans="3:14" ht="21" customHeight="1" x14ac:dyDescent="0.25">
      <c r="C65" s="387" t="s">
        <v>265</v>
      </c>
      <c r="D65" s="388">
        <f t="shared" ref="D65:N65" si="40">IF(OR(D59="",D60=""),"",D59*D60)</f>
        <v>2.6170249999999999E-2</v>
      </c>
      <c r="E65" s="389">
        <f t="shared" si="40"/>
        <v>3.95E-2</v>
      </c>
      <c r="F65" s="389">
        <f t="shared" si="40"/>
        <v>5.2340499999999998E-2</v>
      </c>
      <c r="G65" s="389">
        <f t="shared" si="40"/>
        <v>5.6436148148148152E-2</v>
      </c>
      <c r="H65" s="389">
        <f t="shared" si="40"/>
        <v>9.9500000000000005E-2</v>
      </c>
      <c r="I65" s="389">
        <f t="shared" si="40"/>
        <v>0.104681</v>
      </c>
      <c r="J65" s="389">
        <f t="shared" si="40"/>
        <v>0.135075</v>
      </c>
      <c r="K65" s="389">
        <f t="shared" si="40"/>
        <v>0.20936199999999999</v>
      </c>
      <c r="L65" s="389">
        <f t="shared" si="40"/>
        <v>0.27015</v>
      </c>
      <c r="M65" s="389">
        <f t="shared" si="40"/>
        <v>0.41639999999999999</v>
      </c>
      <c r="N65" s="390">
        <f t="shared" si="40"/>
        <v>0.5403</v>
      </c>
    </row>
    <row r="66" spans="3:14" ht="21" customHeight="1" x14ac:dyDescent="0.25">
      <c r="C66" s="89" t="s">
        <v>266</v>
      </c>
      <c r="D66" s="382">
        <f t="shared" ref="D66:N66" si="41">IF(OR(D61="",D65=""),"",IF(D61*D65&lt;comp_cs_volts,D61*D65,""))</f>
        <v>0.53227627118644061</v>
      </c>
      <c r="E66" s="105">
        <f t="shared" si="41"/>
        <v>0.80338983050847457</v>
      </c>
      <c r="F66" s="105">
        <f t="shared" si="41"/>
        <v>1.0645525423728812</v>
      </c>
      <c r="G66" s="105">
        <f t="shared" si="41"/>
        <v>1.1478538606403013</v>
      </c>
      <c r="H66" s="105">
        <f t="shared" si="41"/>
        <v>2.0237288135593219</v>
      </c>
      <c r="I66" s="105">
        <f t="shared" si="41"/>
        <v>2.1291050847457624</v>
      </c>
      <c r="J66" s="105">
        <f t="shared" si="41"/>
        <v>2.7472881355932204</v>
      </c>
      <c r="K66" s="105">
        <f t="shared" si="41"/>
        <v>4.2582101694915249</v>
      </c>
      <c r="L66" s="105">
        <f t="shared" si="41"/>
        <v>5.4945762711864408</v>
      </c>
      <c r="M66" s="105">
        <f t="shared" si="41"/>
        <v>8.4691525423728802</v>
      </c>
      <c r="N66" s="383">
        <f t="shared" si="41"/>
        <v>10.989152542372882</v>
      </c>
    </row>
    <row r="67" spans="3:14" ht="21" customHeight="1" x14ac:dyDescent="0.25">
      <c r="C67" s="89" t="s">
        <v>267</v>
      </c>
      <c r="D67" s="385">
        <f t="shared" ref="D67:N67" si="42">IF(OR(D61="",D66=""),"",D61*D66)</f>
        <v>10.8259580580293</v>
      </c>
      <c r="E67" s="143">
        <f t="shared" si="42"/>
        <v>16.340132145935076</v>
      </c>
      <c r="F67" s="143">
        <f t="shared" si="42"/>
        <v>21.651916116058601</v>
      </c>
      <c r="G67" s="143">
        <f t="shared" si="42"/>
        <v>23.346180216412908</v>
      </c>
      <c r="H67" s="143">
        <f t="shared" si="42"/>
        <v>41.160586038494678</v>
      </c>
      <c r="I67" s="143">
        <f t="shared" si="42"/>
        <v>43.303832232117202</v>
      </c>
      <c r="J67" s="143">
        <f t="shared" si="42"/>
        <v>55.877046825624817</v>
      </c>
      <c r="K67" s="143">
        <f t="shared" si="42"/>
        <v>86.607664464234404</v>
      </c>
      <c r="L67" s="143">
        <f t="shared" si="42"/>
        <v>111.75409365124963</v>
      </c>
      <c r="M67" s="143">
        <f t="shared" si="42"/>
        <v>172.25395001436365</v>
      </c>
      <c r="N67" s="386">
        <f t="shared" si="42"/>
        <v>223.50818730249927</v>
      </c>
    </row>
    <row r="68" spans="3:14" ht="22" customHeight="1" thickBot="1" x14ac:dyDescent="0.3">
      <c r="C68" s="134" t="s">
        <v>268</v>
      </c>
      <c r="D68" s="391">
        <f t="shared" ref="D68:N68" si="43">IF(OR(D63="",D65=""),"",POWER(D63,2)/D65)</f>
        <v>33253.407972793539</v>
      </c>
      <c r="E68" s="392">
        <f t="shared" si="43"/>
        <v>22031.645569620254</v>
      </c>
      <c r="F68" s="392">
        <f t="shared" si="43"/>
        <v>16626.703986396769</v>
      </c>
      <c r="G68" s="392">
        <f t="shared" si="43"/>
        <v>15420.081429291444</v>
      </c>
      <c r="H68" s="392">
        <f t="shared" si="43"/>
        <v>8746.2311557788944</v>
      </c>
      <c r="I68" s="392">
        <f t="shared" si="43"/>
        <v>8313.3519931983847</v>
      </c>
      <c r="J68" s="392">
        <f t="shared" si="43"/>
        <v>6442.7170090690361</v>
      </c>
      <c r="K68" s="392">
        <f t="shared" si="43"/>
        <v>4156.6759965991923</v>
      </c>
      <c r="L68" s="392">
        <f t="shared" si="43"/>
        <v>3221.358504534518</v>
      </c>
      <c r="M68" s="392">
        <f t="shared" si="43"/>
        <v>2089.9375600384246</v>
      </c>
      <c r="N68" s="393">
        <f t="shared" si="43"/>
        <v>1610.679252267259</v>
      </c>
    </row>
    <row r="69" spans="3:14" ht="21" customHeight="1" x14ac:dyDescent="0.25">
      <c r="C69" s="387" t="s">
        <v>269</v>
      </c>
      <c r="D69" s="409">
        <f t="shared" ref="D69:N69" si="44">IF(OR(D62="",D65=""),"",IF(D65&gt;D62,"",D62-D65))</f>
        <v>1.4242464166666666</v>
      </c>
      <c r="E69" s="99">
        <f t="shared" si="44"/>
        <v>1.4109166666666666</v>
      </c>
      <c r="F69" s="99">
        <f t="shared" si="44"/>
        <v>1.3980761666666668</v>
      </c>
      <c r="G69" s="99">
        <f t="shared" si="44"/>
        <v>1.3939805185185186</v>
      </c>
      <c r="H69" s="99">
        <f t="shared" si="44"/>
        <v>1.3509166666666668</v>
      </c>
      <c r="I69" s="99">
        <f t="shared" si="44"/>
        <v>1.3457356666666667</v>
      </c>
      <c r="J69" s="99">
        <f t="shared" si="44"/>
        <v>1.3153416666666666</v>
      </c>
      <c r="K69" s="99">
        <f t="shared" si="44"/>
        <v>1.2410546666666666</v>
      </c>
      <c r="L69" s="99">
        <f t="shared" si="44"/>
        <v>1.1802666666666668</v>
      </c>
      <c r="M69" s="99">
        <f t="shared" si="44"/>
        <v>1.0340166666666666</v>
      </c>
      <c r="N69" s="410">
        <f t="shared" si="44"/>
        <v>0.91011666666666668</v>
      </c>
    </row>
    <row r="70" spans="3:14" ht="21" customHeight="1" x14ac:dyDescent="0.25">
      <c r="C70" s="89" t="s">
        <v>270</v>
      </c>
      <c r="D70" s="380">
        <f t="shared" ref="D70:N70" si="45">IF(OR(D61="",D69=""),"",D61*D69)</f>
        <v>28.967723728813557</v>
      </c>
      <c r="E70" s="186">
        <f t="shared" si="45"/>
        <v>28.696610169491521</v>
      </c>
      <c r="F70" s="186">
        <f t="shared" si="45"/>
        <v>28.43544745762712</v>
      </c>
      <c r="G70" s="186">
        <f t="shared" si="45"/>
        <v>28.3521461393597</v>
      </c>
      <c r="H70" s="186">
        <f t="shared" si="45"/>
        <v>27.47627118644068</v>
      </c>
      <c r="I70" s="186">
        <f t="shared" si="45"/>
        <v>27.370894915254237</v>
      </c>
      <c r="J70" s="186">
        <f t="shared" si="45"/>
        <v>26.752711864406777</v>
      </c>
      <c r="K70" s="186">
        <f t="shared" si="45"/>
        <v>25.241789830508473</v>
      </c>
      <c r="L70" s="186">
        <f t="shared" si="45"/>
        <v>24.005423728813561</v>
      </c>
      <c r="M70" s="186">
        <f t="shared" si="45"/>
        <v>21.030847457627114</v>
      </c>
      <c r="N70" s="381">
        <f t="shared" si="45"/>
        <v>18.510847457627118</v>
      </c>
    </row>
    <row r="71" spans="3:14" ht="22" customHeight="1" thickBot="1" x14ac:dyDescent="0.3">
      <c r="C71" s="134" t="s">
        <v>271</v>
      </c>
      <c r="D71" s="423">
        <f t="shared" ref="D71:N71" si="46">IF(OR(D61="",D70=""),"",D61*D70)</f>
        <v>589.17404194197059</v>
      </c>
      <c r="E71" s="424">
        <f t="shared" si="46"/>
        <v>583.65986785406483</v>
      </c>
      <c r="F71" s="424">
        <f t="shared" si="46"/>
        <v>578.3480838839414</v>
      </c>
      <c r="G71" s="424">
        <f t="shared" si="46"/>
        <v>576.6538197835871</v>
      </c>
      <c r="H71" s="424">
        <f t="shared" si="46"/>
        <v>558.83941396150533</v>
      </c>
      <c r="I71" s="424">
        <f t="shared" si="46"/>
        <v>556.6961677678828</v>
      </c>
      <c r="J71" s="424">
        <f t="shared" si="46"/>
        <v>544.12295317437508</v>
      </c>
      <c r="K71" s="424">
        <f t="shared" si="46"/>
        <v>513.39233553576548</v>
      </c>
      <c r="L71" s="424">
        <f t="shared" si="46"/>
        <v>488.2459063487504</v>
      </c>
      <c r="M71" s="424">
        <f t="shared" si="46"/>
        <v>427.7460499856362</v>
      </c>
      <c r="N71" s="425">
        <f t="shared" si="46"/>
        <v>376.49181269750068</v>
      </c>
    </row>
    <row r="72" spans="3:14" ht="22" customHeight="1" thickBot="1" x14ac:dyDescent="0.3">
      <c r="C72" s="401" t="s">
        <v>27</v>
      </c>
      <c r="D72" s="413">
        <f t="shared" ref="D72:N72" si="47">IF(OR(D64="",D71=""),"",D71/D64)</f>
        <v>0.98195673656995097</v>
      </c>
      <c r="E72" s="414">
        <f t="shared" si="47"/>
        <v>0.97276644642344134</v>
      </c>
      <c r="F72" s="414">
        <f t="shared" si="47"/>
        <v>0.96391347313990228</v>
      </c>
      <c r="G72" s="414">
        <f t="shared" si="47"/>
        <v>0.96108969963931179</v>
      </c>
      <c r="H72" s="414">
        <f t="shared" si="47"/>
        <v>0.93139902326917556</v>
      </c>
      <c r="I72" s="414">
        <f t="shared" si="47"/>
        <v>0.92782694627980467</v>
      </c>
      <c r="J72" s="414">
        <f t="shared" si="47"/>
        <v>0.90687158862395845</v>
      </c>
      <c r="K72" s="414">
        <f t="shared" si="47"/>
        <v>0.85565389255960911</v>
      </c>
      <c r="L72" s="414">
        <f t="shared" si="47"/>
        <v>0.81374317724791734</v>
      </c>
      <c r="M72" s="414">
        <f t="shared" si="47"/>
        <v>0.71291008330939365</v>
      </c>
      <c r="N72" s="415">
        <f t="shared" si="47"/>
        <v>0.62748635449583445</v>
      </c>
    </row>
    <row r="73" spans="3:14" ht="22" customHeight="1" thickBot="1" x14ac:dyDescent="0.3">
      <c r="C73" s="401" t="s">
        <v>250</v>
      </c>
      <c r="D73" s="402">
        <f t="shared" ref="D73:N73" si="48">IF(D57="","",VLOOKUP(D57,distline_table,9,FALSE))</f>
        <v>13.368750000000002</v>
      </c>
      <c r="E73" s="403">
        <f t="shared" si="48"/>
        <v>74.37</v>
      </c>
      <c r="F73" s="404">
        <f t="shared" si="48"/>
        <v>26.737500000000004</v>
      </c>
      <c r="G73" s="404">
        <f t="shared" si="48"/>
        <v>21.017600000000002</v>
      </c>
      <c r="H73" s="403">
        <f t="shared" si="48"/>
        <v>181.85</v>
      </c>
      <c r="I73" s="403">
        <f t="shared" si="48"/>
        <v>53.475000000000009</v>
      </c>
      <c r="J73" s="404">
        <f t="shared" si="48"/>
        <v>6.7424999999999997</v>
      </c>
      <c r="K73" s="403">
        <f t="shared" si="48"/>
        <v>106.95000000000002</v>
      </c>
      <c r="L73" s="404">
        <f t="shared" si="48"/>
        <v>13.484999999999999</v>
      </c>
      <c r="M73" s="403">
        <f t="shared" si="48"/>
        <v>87</v>
      </c>
      <c r="N73" s="405">
        <f t="shared" si="48"/>
        <v>26.97</v>
      </c>
    </row>
  </sheetData>
  <conditionalFormatting sqref="D32:N32 D56:N56">
    <cfRule type="expression" dxfId="0" priority="0">
      <formula>LEN(TRIM(D32))&gt;0</formula>
    </cfRule>
  </conditionalFormatting>
  <dataValidations disablePrompts="1" count="1">
    <dataValidation type="list" allowBlank="1" showInputMessage="1" showErrorMessage="1" sqref="D33:N33 D10:N10 D57:N57" xr:uid="{00000000-0002-0000-0A00-000000000000}">
      <formula1>distline_choices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9"/>
  <sheetViews>
    <sheetView workbookViewId="0"/>
  </sheetViews>
  <sheetFormatPr baseColWidth="10" defaultColWidth="10.83203125" defaultRowHeight="21" customHeight="1" x14ac:dyDescent="0.25"/>
  <cols>
    <col min="1" max="1" width="3.83203125" style="1" customWidth="1"/>
    <col min="2" max="10" width="15.83203125" style="1" customWidth="1"/>
    <col min="11" max="11" width="52.6640625" style="1" customWidth="1"/>
    <col min="12" max="16384" width="10.83203125" style="1"/>
  </cols>
  <sheetData>
    <row r="2" spans="2:11" ht="21" customHeight="1" x14ac:dyDescent="0.25">
      <c r="B2" s="227" t="s">
        <v>272</v>
      </c>
    </row>
    <row r="4" spans="2:11" s="128" customFormat="1" ht="22" customHeight="1" thickBot="1" x14ac:dyDescent="0.3">
      <c r="B4" s="89" t="s">
        <v>28</v>
      </c>
      <c r="C4" s="89" t="s">
        <v>273</v>
      </c>
      <c r="D4" s="89" t="s">
        <v>274</v>
      </c>
      <c r="E4" s="89" t="s">
        <v>275</v>
      </c>
      <c r="F4" s="89" t="s">
        <v>276</v>
      </c>
      <c r="G4" s="89" t="s">
        <v>277</v>
      </c>
      <c r="H4" s="89" t="s">
        <v>64</v>
      </c>
      <c r="I4" s="89" t="s">
        <v>278</v>
      </c>
      <c r="J4" s="89" t="s">
        <v>279</v>
      </c>
      <c r="K4" s="128" t="s">
        <v>280</v>
      </c>
    </row>
    <row r="5" spans="2:11" ht="21" customHeight="1" x14ac:dyDescent="0.25">
      <c r="B5" s="36"/>
      <c r="C5" s="37">
        <v>0</v>
      </c>
      <c r="D5" s="37">
        <v>10</v>
      </c>
      <c r="E5" s="37">
        <f>C5+D5/16</f>
        <v>0.625</v>
      </c>
      <c r="F5" s="37"/>
      <c r="G5" s="37">
        <f>E5-F5</f>
        <v>0.625</v>
      </c>
      <c r="H5" s="37">
        <v>1</v>
      </c>
      <c r="I5" s="43">
        <f>G5/H5</f>
        <v>0.625</v>
      </c>
      <c r="J5" s="37"/>
      <c r="K5" s="161" t="s">
        <v>281</v>
      </c>
    </row>
    <row r="6" spans="2:11" ht="21" customHeight="1" x14ac:dyDescent="0.25">
      <c r="B6" s="46"/>
      <c r="C6" s="7">
        <v>4</v>
      </c>
      <c r="D6" s="7">
        <v>5</v>
      </c>
      <c r="E6" s="7">
        <f>C6+D6/16</f>
        <v>4.3125</v>
      </c>
      <c r="F6" s="7">
        <f>E$5</f>
        <v>0.625</v>
      </c>
      <c r="G6" s="7">
        <f>E6-F6</f>
        <v>3.6875</v>
      </c>
      <c r="H6" s="7">
        <v>200</v>
      </c>
      <c r="I6" s="32">
        <f>G6/H6</f>
        <v>1.8437499999999999E-2</v>
      </c>
      <c r="J6" s="7"/>
      <c r="K6" s="171" t="s">
        <v>282</v>
      </c>
    </row>
    <row r="7" spans="2:11" ht="21" customHeight="1" x14ac:dyDescent="0.25">
      <c r="B7" s="46">
        <v>8</v>
      </c>
      <c r="C7" s="7">
        <v>17.600000000000001</v>
      </c>
      <c r="D7" s="7"/>
      <c r="E7" s="7">
        <f>C7+D7/16</f>
        <v>17.600000000000001</v>
      </c>
      <c r="F7" s="7">
        <f>E$5</f>
        <v>0.625</v>
      </c>
      <c r="G7" s="7">
        <f>E7-F7</f>
        <v>16.975000000000001</v>
      </c>
      <c r="H7" s="7">
        <v>200</v>
      </c>
      <c r="I7" s="32">
        <f>G7/H7</f>
        <v>8.4875000000000006E-2</v>
      </c>
      <c r="J7" s="32">
        <f>VLOOKUP(B7,copper_wire_table,5,FALSE)/1000</f>
        <v>5.0375563639825052E-2</v>
      </c>
      <c r="K7" s="171" t="s">
        <v>283</v>
      </c>
    </row>
    <row r="8" spans="2:11" ht="21" customHeight="1" x14ac:dyDescent="0.25">
      <c r="B8" s="46">
        <v>6</v>
      </c>
      <c r="C8" s="7">
        <v>12</v>
      </c>
      <c r="D8" s="7"/>
      <c r="E8" s="7">
        <f>C8+D8/16</f>
        <v>12</v>
      </c>
      <c r="F8" s="7">
        <f>E$5</f>
        <v>0.625</v>
      </c>
      <c r="G8" s="7">
        <f>E8-F8</f>
        <v>11.375</v>
      </c>
      <c r="H8" s="7">
        <v>100</v>
      </c>
      <c r="I8" s="19">
        <f>G8/H8</f>
        <v>0.11375</v>
      </c>
      <c r="J8" s="32">
        <f>VLOOKUP(B8,copper_wire_table,5,FALSE)/1000</f>
        <v>8.0065181435816951E-2</v>
      </c>
      <c r="K8" s="171" t="s">
        <v>284</v>
      </c>
    </row>
    <row r="9" spans="2:11" ht="22" customHeight="1" thickBot="1" x14ac:dyDescent="0.3">
      <c r="B9" s="77">
        <v>10</v>
      </c>
      <c r="C9" s="34">
        <v>1</v>
      </c>
      <c r="D9" s="34">
        <v>13</v>
      </c>
      <c r="E9" s="34">
        <f>C9+D9/16</f>
        <v>1.8125</v>
      </c>
      <c r="F9" s="34"/>
      <c r="G9" s="34">
        <f>E9-F9</f>
        <v>1.8125</v>
      </c>
      <c r="H9" s="34">
        <v>50</v>
      </c>
      <c r="I9" s="80">
        <f>G9/H9</f>
        <v>3.6249999999999998E-2</v>
      </c>
      <c r="J9" s="80">
        <f>VLOOKUP(B9,copper_wire_table,5,FALSE)/1000</f>
        <v>3.1678311942111084E-2</v>
      </c>
      <c r="K9" s="206" t="s">
        <v>285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O19"/>
  <sheetViews>
    <sheetView workbookViewId="0">
      <selection activeCell="B13" sqref="B13"/>
    </sheetView>
  </sheetViews>
  <sheetFormatPr baseColWidth="10" defaultColWidth="10.83203125" defaultRowHeight="21" customHeight="1" x14ac:dyDescent="0.25"/>
  <cols>
    <col min="1" max="1" width="3.83203125" style="1" customWidth="1"/>
    <col min="2" max="16384" width="10.83203125" style="1"/>
  </cols>
  <sheetData>
    <row r="2" spans="2:15" ht="21" customHeight="1" x14ac:dyDescent="0.25">
      <c r="B2" s="227" t="s">
        <v>286</v>
      </c>
    </row>
    <row r="4" spans="2:15" ht="21" customHeight="1" x14ac:dyDescent="0.25">
      <c r="B4" s="426">
        <v>22.8</v>
      </c>
      <c r="D4" s="1" t="s">
        <v>287</v>
      </c>
      <c r="F4" s="1" t="s">
        <v>288</v>
      </c>
      <c r="H4" s="1" t="s">
        <v>230</v>
      </c>
      <c r="I4" s="1" t="s">
        <v>289</v>
      </c>
      <c r="J4" s="1" t="s">
        <v>229</v>
      </c>
      <c r="K4" s="1" t="s">
        <v>290</v>
      </c>
      <c r="M4" s="1" t="s">
        <v>291</v>
      </c>
      <c r="N4" s="1" t="s">
        <v>250</v>
      </c>
      <c r="O4" s="1" t="s">
        <v>292</v>
      </c>
    </row>
    <row r="5" spans="2:15" ht="21" customHeight="1" x14ac:dyDescent="0.25">
      <c r="B5" s="426">
        <v>14.6</v>
      </c>
      <c r="D5" s="1" t="s">
        <v>293</v>
      </c>
      <c r="H5" s="1">
        <v>4</v>
      </c>
      <c r="I5" s="1">
        <v>2</v>
      </c>
      <c r="J5" s="427">
        <v>4.2</v>
      </c>
      <c r="K5" s="427">
        <v>16.8</v>
      </c>
      <c r="M5" s="1">
        <v>100</v>
      </c>
      <c r="N5" s="1">
        <v>40</v>
      </c>
      <c r="O5" s="427">
        <v>0.4</v>
      </c>
    </row>
    <row r="6" spans="2:15" ht="21" customHeight="1" x14ac:dyDescent="0.25">
      <c r="B6" s="426">
        <v>76</v>
      </c>
      <c r="D6" s="1" t="s">
        <v>294</v>
      </c>
      <c r="H6" s="1">
        <v>4</v>
      </c>
      <c r="I6" s="1">
        <v>3</v>
      </c>
      <c r="J6" s="427">
        <v>4.5999999999999996</v>
      </c>
      <c r="K6" s="427">
        <v>18.399999999999999</v>
      </c>
    </row>
    <row r="7" spans="2:15" ht="21" customHeight="1" x14ac:dyDescent="0.25">
      <c r="B7" s="287">
        <v>5.2</v>
      </c>
      <c r="C7" s="287"/>
      <c r="D7" s="1" t="s">
        <v>295</v>
      </c>
      <c r="H7" s="1">
        <v>4</v>
      </c>
      <c r="I7" s="1">
        <v>4</v>
      </c>
      <c r="J7" s="427">
        <v>5</v>
      </c>
      <c r="K7" s="427">
        <v>20</v>
      </c>
      <c r="M7" s="1" t="s">
        <v>296</v>
      </c>
      <c r="N7" s="1" t="s">
        <v>297</v>
      </c>
    </row>
    <row r="8" spans="2:15" ht="21" customHeight="1" x14ac:dyDescent="0.25">
      <c r="B8" s="287"/>
      <c r="C8" s="287"/>
      <c r="H8" s="1">
        <v>4</v>
      </c>
      <c r="I8" s="1">
        <v>6</v>
      </c>
      <c r="J8" s="427">
        <v>5.8</v>
      </c>
      <c r="K8" s="427">
        <v>23.2</v>
      </c>
      <c r="M8" s="1">
        <v>100</v>
      </c>
      <c r="N8" s="427">
        <v>170</v>
      </c>
      <c r="O8" s="427">
        <v>1.7</v>
      </c>
    </row>
    <row r="9" spans="2:15" ht="21" customHeight="1" x14ac:dyDescent="0.25">
      <c r="B9" s="428">
        <v>13.8</v>
      </c>
      <c r="C9" s="287"/>
      <c r="D9" s="1" t="s">
        <v>298</v>
      </c>
      <c r="F9" s="1" t="s">
        <v>299</v>
      </c>
      <c r="H9" s="1">
        <v>2</v>
      </c>
      <c r="I9" s="1">
        <v>12</v>
      </c>
      <c r="J9" s="427">
        <v>8.1999999999999993</v>
      </c>
      <c r="K9" s="427">
        <v>16.399999999999999</v>
      </c>
    </row>
    <row r="10" spans="2:15" ht="21" customHeight="1" x14ac:dyDescent="0.25">
      <c r="H10" s="1">
        <v>2</v>
      </c>
      <c r="I10" s="1">
        <v>25</v>
      </c>
      <c r="J10" s="427">
        <v>13.4</v>
      </c>
      <c r="K10" s="427">
        <v>26.8</v>
      </c>
    </row>
    <row r="11" spans="2:15" ht="21" customHeight="1" x14ac:dyDescent="0.25">
      <c r="B11" s="429">
        <v>4</v>
      </c>
      <c r="D11" s="1" t="s">
        <v>300</v>
      </c>
      <c r="F11" s="1" t="s">
        <v>301</v>
      </c>
      <c r="H11" s="1">
        <v>1</v>
      </c>
      <c r="I11" s="1">
        <v>50</v>
      </c>
      <c r="J11" s="427">
        <v>23.4</v>
      </c>
      <c r="K11" s="427">
        <v>23.4</v>
      </c>
    </row>
    <row r="12" spans="2:15" ht="21" customHeight="1" x14ac:dyDescent="0.25">
      <c r="B12" s="429">
        <v>4</v>
      </c>
      <c r="D12" s="1" t="s">
        <v>302</v>
      </c>
      <c r="H12" s="1">
        <v>1</v>
      </c>
      <c r="I12" s="1">
        <v>100</v>
      </c>
      <c r="J12" s="427">
        <v>43.4</v>
      </c>
      <c r="K12" s="427">
        <v>43.4</v>
      </c>
    </row>
    <row r="13" spans="2:15" ht="21" customHeight="1" x14ac:dyDescent="0.25">
      <c r="J13" s="427"/>
      <c r="K13" s="427">
        <v>188.4</v>
      </c>
    </row>
    <row r="14" spans="2:15" ht="21" customHeight="1" x14ac:dyDescent="0.25">
      <c r="B14" s="1">
        <v>91.2</v>
      </c>
      <c r="D14" s="1" t="s">
        <v>287</v>
      </c>
      <c r="F14" s="1" t="s">
        <v>303</v>
      </c>
    </row>
    <row r="15" spans="2:15" ht="21" customHeight="1" x14ac:dyDescent="0.25">
      <c r="B15" s="287">
        <v>58.4</v>
      </c>
      <c r="D15" s="1" t="s">
        <v>293</v>
      </c>
    </row>
    <row r="16" spans="2:15" ht="21" customHeight="1" x14ac:dyDescent="0.25">
      <c r="B16" s="1">
        <v>1216</v>
      </c>
      <c r="D16" s="1" t="s">
        <v>294</v>
      </c>
    </row>
    <row r="17" spans="2:6" ht="21" customHeight="1" x14ac:dyDescent="0.25">
      <c r="B17" s="287">
        <v>20.8</v>
      </c>
      <c r="C17" s="287"/>
      <c r="D17" s="1" t="s">
        <v>295</v>
      </c>
    </row>
    <row r="18" spans="2:6" ht="21" customHeight="1" x14ac:dyDescent="0.25">
      <c r="B18" s="287"/>
      <c r="C18" s="287"/>
    </row>
    <row r="19" spans="2:6" ht="21" customHeight="1" x14ac:dyDescent="0.25">
      <c r="B19" s="287">
        <v>88.1</v>
      </c>
      <c r="D19" s="1" t="s">
        <v>304</v>
      </c>
      <c r="F19" s="1" t="s">
        <v>305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W100"/>
  <sheetViews>
    <sheetView topLeftCell="A12" workbookViewId="0">
      <selection activeCell="M28" sqref="M28"/>
    </sheetView>
  </sheetViews>
  <sheetFormatPr baseColWidth="10" defaultColWidth="16.5" defaultRowHeight="22" customHeight="1" x14ac:dyDescent="0.25"/>
  <cols>
    <col min="1" max="1" width="3.83203125" style="1" customWidth="1"/>
    <col min="2" max="3" width="16.5" style="1"/>
    <col min="4" max="4" width="22.83203125" style="1" customWidth="1"/>
    <col min="5" max="9" width="16.5" style="1"/>
    <col min="10" max="12" width="16.5" style="7"/>
    <col min="13" max="13" width="19.33203125" style="1" bestFit="1" customWidth="1"/>
    <col min="14" max="23" width="16.5" style="1"/>
    <col min="24" max="24" width="3.83203125" style="1" customWidth="1"/>
    <col min="25" max="16384" width="16.5" style="1"/>
  </cols>
  <sheetData>
    <row r="2" spans="2:22" ht="22" customHeight="1" x14ac:dyDescent="0.25">
      <c r="B2" s="1" t="s">
        <v>306</v>
      </c>
      <c r="D2" s="1" t="s">
        <v>307</v>
      </c>
      <c r="H2" s="19" t="s">
        <v>308</v>
      </c>
      <c r="J2" s="1" t="s">
        <v>309</v>
      </c>
      <c r="L2" s="1" t="s">
        <v>310</v>
      </c>
      <c r="O2" s="1" t="s">
        <v>311</v>
      </c>
    </row>
    <row r="3" spans="2:22" ht="22" customHeight="1" thickBot="1" x14ac:dyDescent="0.3">
      <c r="B3" s="7"/>
      <c r="J3" s="1"/>
      <c r="L3" s="1"/>
      <c r="O3" s="7"/>
    </row>
    <row r="4" spans="2:22" ht="22" customHeight="1" x14ac:dyDescent="0.25">
      <c r="B4" s="430">
        <v>22.3</v>
      </c>
      <c r="C4" s="431" t="s">
        <v>287</v>
      </c>
      <c r="D4" s="431" t="s">
        <v>312</v>
      </c>
      <c r="E4" s="431"/>
      <c r="F4" s="432"/>
      <c r="H4" s="433" t="s">
        <v>313</v>
      </c>
      <c r="J4" s="434" t="s">
        <v>314</v>
      </c>
      <c r="L4" s="435">
        <v>3281</v>
      </c>
      <c r="M4" s="436" t="s">
        <v>315</v>
      </c>
      <c r="O4" s="437">
        <f>107/100</f>
        <v>1.07</v>
      </c>
      <c r="P4" s="438" t="s">
        <v>316</v>
      </c>
      <c r="Q4" s="439"/>
      <c r="R4" s="440"/>
    </row>
    <row r="5" spans="2:22" ht="22" customHeight="1" x14ac:dyDescent="0.25">
      <c r="B5" s="112">
        <v>100</v>
      </c>
      <c r="C5" s="10" t="s">
        <v>317</v>
      </c>
      <c r="D5" s="10" t="s">
        <v>318</v>
      </c>
      <c r="E5" s="10"/>
      <c r="F5" s="441"/>
      <c r="H5" s="442" t="s">
        <v>319</v>
      </c>
      <c r="J5" s="443" t="s">
        <v>1</v>
      </c>
      <c r="L5" s="444">
        <v>25.4</v>
      </c>
      <c r="M5" s="445" t="s">
        <v>320</v>
      </c>
      <c r="O5" s="446">
        <f>14/10/12*0.75</f>
        <v>8.7499999999999994E-2</v>
      </c>
      <c r="P5" s="447" t="s">
        <v>321</v>
      </c>
      <c r="Q5" s="448"/>
      <c r="R5" s="449"/>
      <c r="T5" s="1" t="s">
        <v>322</v>
      </c>
    </row>
    <row r="6" spans="2:22" ht="22" customHeight="1" x14ac:dyDescent="0.25">
      <c r="B6" s="361">
        <v>14.65</v>
      </c>
      <c r="C6" s="10" t="s">
        <v>293</v>
      </c>
      <c r="D6" s="10" t="s">
        <v>323</v>
      </c>
      <c r="E6" s="10"/>
      <c r="F6" s="441"/>
      <c r="H6" s="442" t="s">
        <v>324</v>
      </c>
      <c r="J6" s="450" t="s">
        <v>325</v>
      </c>
      <c r="L6" s="444">
        <v>1000000</v>
      </c>
      <c r="M6" s="445" t="s">
        <v>326</v>
      </c>
      <c r="O6" s="446">
        <f>52/10</f>
        <v>5.2</v>
      </c>
      <c r="P6" s="447" t="s">
        <v>327</v>
      </c>
      <c r="Q6" s="448"/>
      <c r="R6" s="449"/>
      <c r="T6" s="1" t="s">
        <v>328</v>
      </c>
    </row>
    <row r="7" spans="2:22" ht="22" customHeight="1" x14ac:dyDescent="0.25">
      <c r="B7" s="112">
        <v>5.2</v>
      </c>
      <c r="C7" s="10" t="s">
        <v>295</v>
      </c>
      <c r="D7" s="10" t="s">
        <v>329</v>
      </c>
      <c r="E7" s="10"/>
      <c r="F7" s="441"/>
      <c r="H7" s="442" t="s">
        <v>330</v>
      </c>
      <c r="J7" s="1"/>
      <c r="L7" s="444">
        <v>304.8</v>
      </c>
      <c r="M7" s="445" t="s">
        <v>331</v>
      </c>
      <c r="O7" s="446">
        <v>8</v>
      </c>
      <c r="P7" s="447" t="s">
        <v>332</v>
      </c>
      <c r="Q7" s="448"/>
      <c r="R7" s="449"/>
    </row>
    <row r="8" spans="2:22" ht="22" customHeight="1" x14ac:dyDescent="0.25">
      <c r="B8" s="451">
        <f>panel_Vmpp*panel_Impp</f>
        <v>76.180000000000007</v>
      </c>
      <c r="C8" s="10" t="s">
        <v>294</v>
      </c>
      <c r="D8" s="10" t="s">
        <v>333</v>
      </c>
      <c r="E8" s="10"/>
      <c r="F8" s="441"/>
      <c r="H8" s="442" t="s">
        <v>334</v>
      </c>
      <c r="J8" s="1"/>
      <c r="L8" s="444">
        <v>2.2046199999999998</v>
      </c>
      <c r="M8" s="445" t="s">
        <v>335</v>
      </c>
      <c r="O8" s="446">
        <f>cost_pp30+cost_pphs+cost_sb50+cost_ft10ccu/12*3.5</f>
        <v>6.4361625</v>
      </c>
      <c r="P8" s="448" t="s">
        <v>336</v>
      </c>
      <c r="Q8" s="448"/>
      <c r="R8" s="449"/>
      <c r="S8" s="5">
        <f>15+(10.5+6.5)/12</f>
        <v>16.416666666666668</v>
      </c>
      <c r="T8" s="1" t="s">
        <v>337</v>
      </c>
    </row>
    <row r="9" spans="2:22" ht="22" customHeight="1" thickBot="1" x14ac:dyDescent="0.3">
      <c r="B9" s="452">
        <f>panel_Vmpp/panel_Impp</f>
        <v>2.8173076923076921</v>
      </c>
      <c r="C9" s="453" t="s">
        <v>338</v>
      </c>
      <c r="D9" s="453" t="s">
        <v>339</v>
      </c>
      <c r="E9" s="453"/>
      <c r="F9" s="454"/>
      <c r="H9" s="442" t="s">
        <v>340</v>
      </c>
      <c r="J9" s="1"/>
      <c r="L9" s="455">
        <v>8960</v>
      </c>
      <c r="M9" s="456" t="s">
        <v>341</v>
      </c>
      <c r="O9" s="446">
        <f>12.5/2</f>
        <v>6.25</v>
      </c>
      <c r="P9" s="447" t="s">
        <v>342</v>
      </c>
      <c r="Q9" s="448"/>
      <c r="R9" s="449"/>
      <c r="S9" s="5">
        <f>5+(5.5+5)/12</f>
        <v>5.875</v>
      </c>
      <c r="T9" s="1" t="s">
        <v>343</v>
      </c>
    </row>
    <row r="10" spans="2:22" ht="22" customHeight="1" x14ac:dyDescent="0.25">
      <c r="B10" s="7"/>
      <c r="H10" s="457" t="s">
        <v>0</v>
      </c>
      <c r="J10" s="1"/>
      <c r="O10" s="458">
        <f>cost_sb50*2</f>
        <v>10.4</v>
      </c>
      <c r="P10" s="448" t="s">
        <v>344</v>
      </c>
      <c r="Q10" s="448"/>
      <c r="R10" s="449"/>
      <c r="S10" s="5">
        <f>1+(8.5+11.5)/12</f>
        <v>2.666666666666667</v>
      </c>
      <c r="T10" s="1" t="s">
        <v>345</v>
      </c>
    </row>
    <row r="11" spans="2:22" ht="22" customHeight="1" x14ac:dyDescent="0.25">
      <c r="B11" s="7"/>
      <c r="J11" s="1"/>
      <c r="O11" s="458">
        <f>cost_pp30+cost_pphs</f>
        <v>1.1575</v>
      </c>
      <c r="P11" s="448" t="s">
        <v>346</v>
      </c>
      <c r="Q11" s="448"/>
      <c r="R11" s="449"/>
      <c r="S11" s="5">
        <f>SUM(S8:S10)</f>
        <v>24.958333333333336</v>
      </c>
      <c r="T11" s="1" t="s">
        <v>347</v>
      </c>
    </row>
    <row r="12" spans="2:22" ht="22" customHeight="1" x14ac:dyDescent="0.25">
      <c r="B12" s="7"/>
      <c r="J12" s="1"/>
      <c r="K12" s="1"/>
      <c r="L12" s="1"/>
      <c r="O12" s="458">
        <f>cost_reel+cost_sb50pp30*2</f>
        <v>20.872325</v>
      </c>
      <c r="P12" s="448" t="s">
        <v>348</v>
      </c>
      <c r="Q12" s="448"/>
      <c r="R12" s="449"/>
    </row>
    <row r="13" spans="2:22" ht="22" customHeight="1" thickBot="1" x14ac:dyDescent="0.3">
      <c r="J13" s="1"/>
      <c r="K13" s="1"/>
      <c r="L13" s="1"/>
      <c r="O13" s="459">
        <f>107.88/4/100</f>
        <v>0.2697</v>
      </c>
      <c r="P13" s="460" t="s">
        <v>349</v>
      </c>
      <c r="Q13" s="460"/>
      <c r="R13" s="461"/>
    </row>
    <row r="14" spans="2:22" ht="22" customHeight="1" x14ac:dyDescent="0.25">
      <c r="B14" s="1" t="s">
        <v>350</v>
      </c>
      <c r="J14" s="1"/>
      <c r="K14" s="1"/>
      <c r="L14" s="1"/>
    </row>
    <row r="15" spans="2:22" ht="22" customHeight="1" x14ac:dyDescent="0.25">
      <c r="J15" s="1" t="s">
        <v>351</v>
      </c>
      <c r="U15" s="89" t="s">
        <v>352</v>
      </c>
      <c r="V15" s="128" t="s">
        <v>353</v>
      </c>
    </row>
    <row r="16" spans="2:22" ht="22" customHeight="1" x14ac:dyDescent="0.25">
      <c r="B16" s="462" t="s">
        <v>354</v>
      </c>
      <c r="C16" s="463" t="s">
        <v>355</v>
      </c>
      <c r="D16" s="464" t="s">
        <v>356</v>
      </c>
      <c r="E16" s="463" t="s">
        <v>357</v>
      </c>
      <c r="F16" s="463" t="s">
        <v>314</v>
      </c>
      <c r="G16" s="463" t="s">
        <v>325</v>
      </c>
      <c r="J16" s="1"/>
      <c r="R16" s="465"/>
      <c r="S16" s="465" t="s">
        <v>358</v>
      </c>
      <c r="T16" s="62"/>
      <c r="U16" s="89" t="s">
        <v>359</v>
      </c>
    </row>
    <row r="17" spans="2:22" ht="22" customHeight="1" thickBot="1" x14ac:dyDescent="0.3">
      <c r="B17" s="28" t="s">
        <v>313</v>
      </c>
      <c r="C17" s="7" t="s">
        <v>314</v>
      </c>
      <c r="D17" s="466" t="str">
        <f t="shared" ref="D17:D37" si="0">CONCATENATE(B17,,"-",C17)</f>
        <v>1 panel-parallel</v>
      </c>
      <c r="E17" s="467">
        <v>1</v>
      </c>
      <c r="F17" s="467">
        <v>1</v>
      </c>
      <c r="G17" s="468">
        <v>1</v>
      </c>
      <c r="J17" s="89" t="s">
        <v>360</v>
      </c>
      <c r="K17" s="89" t="s">
        <v>30</v>
      </c>
      <c r="L17" s="89" t="s">
        <v>361</v>
      </c>
      <c r="M17" s="89" t="s">
        <v>31</v>
      </c>
      <c r="N17" s="89" t="s">
        <v>362</v>
      </c>
      <c r="O17" s="89" t="s">
        <v>363</v>
      </c>
      <c r="P17" s="89" t="s">
        <v>364</v>
      </c>
      <c r="Q17" s="89" t="s">
        <v>365</v>
      </c>
      <c r="R17" s="465" t="s">
        <v>366</v>
      </c>
      <c r="S17" s="465" t="s">
        <v>361</v>
      </c>
      <c r="T17" s="465" t="s">
        <v>31</v>
      </c>
      <c r="U17" s="89" t="s">
        <v>36</v>
      </c>
    </row>
    <row r="18" spans="2:22" ht="22" customHeight="1" x14ac:dyDescent="0.25">
      <c r="B18" s="28" t="s">
        <v>313</v>
      </c>
      <c r="C18" s="7" t="s">
        <v>1</v>
      </c>
      <c r="D18" s="466" t="str">
        <f t="shared" si="0"/>
        <v>1 panel-para/ser</v>
      </c>
      <c r="E18" s="467">
        <v>0</v>
      </c>
      <c r="F18" s="467">
        <v>0</v>
      </c>
      <c r="G18" s="468">
        <v>0</v>
      </c>
      <c r="J18" s="469">
        <v>6</v>
      </c>
      <c r="K18" s="470">
        <v>1.295928</v>
      </c>
      <c r="L18" s="471">
        <f t="shared" ref="L18:L29" si="1">M18*1000</f>
        <v>0.39497957939652545</v>
      </c>
      <c r="M18" s="472">
        <f t="shared" ref="M18:M29" si="2">IF(K18="","",K18/ft_per_km)</f>
        <v>3.9497957939652544E-4</v>
      </c>
      <c r="N18" s="473">
        <f t="shared" ref="N18:N29" si="3">Q18*mm_per_foot/cubicmm_per_cubic_meter*copper_kg_per_cu_meter*lbs_per_kg</f>
        <v>80.065181435816953</v>
      </c>
      <c r="O18" s="470">
        <v>4.1147999999999998</v>
      </c>
      <c r="P18" s="471">
        <f t="shared" ref="P18:P29" si="4">O18/mm_per_in</f>
        <v>0.16200000000000001</v>
      </c>
      <c r="Q18" s="474">
        <f t="shared" ref="Q18:Q29" si="5">3.14159*(O18/2)*(O18/2)</f>
        <v>13.298019849068398</v>
      </c>
      <c r="R18" s="470"/>
      <c r="S18" s="470" t="str">
        <f t="shared" ref="S18:S29" si="6">IF(T18="","",T18*1000)</f>
        <v/>
      </c>
      <c r="T18" s="475" t="str">
        <f t="shared" ref="T18:T29" si="7">IF(R18="","",R18/ft_per_km)</f>
        <v/>
      </c>
      <c r="U18" s="476">
        <f t="shared" ref="U18:U29" si="8">5*Q18</f>
        <v>66.490099245341995</v>
      </c>
      <c r="V18" s="477">
        <f t="shared" ref="V18:V29" si="9">U18*0.65</f>
        <v>43.218564509472301</v>
      </c>
    </row>
    <row r="19" spans="2:22" ht="22" customHeight="1" x14ac:dyDescent="0.25">
      <c r="B19" s="462" t="s">
        <v>313</v>
      </c>
      <c r="C19" s="478" t="s">
        <v>325</v>
      </c>
      <c r="D19" s="479" t="str">
        <f t="shared" si="0"/>
        <v>1 panel-series</v>
      </c>
      <c r="E19" s="480">
        <v>0</v>
      </c>
      <c r="F19" s="480">
        <v>0</v>
      </c>
      <c r="G19" s="481">
        <v>0</v>
      </c>
      <c r="J19" s="482">
        <v>7</v>
      </c>
      <c r="K19" s="483">
        <v>1.634096</v>
      </c>
      <c r="L19" s="484">
        <f t="shared" si="1"/>
        <v>0.49804815604998476</v>
      </c>
      <c r="M19" s="485">
        <f t="shared" si="2"/>
        <v>4.9804815604998474E-4</v>
      </c>
      <c r="N19" s="486">
        <f t="shared" si="3"/>
        <v>63.525241571234744</v>
      </c>
      <c r="O19" s="483">
        <v>3.6652200000000001</v>
      </c>
      <c r="P19" s="484">
        <f t="shared" si="4"/>
        <v>0.14430000000000001</v>
      </c>
      <c r="Q19" s="487">
        <f t="shared" si="5"/>
        <v>10.550902504459239</v>
      </c>
      <c r="R19" s="483"/>
      <c r="S19" s="483" t="str">
        <f t="shared" si="6"/>
        <v/>
      </c>
      <c r="T19" s="488" t="str">
        <f t="shared" si="7"/>
        <v/>
      </c>
      <c r="U19" s="489">
        <f t="shared" si="8"/>
        <v>52.754512522296196</v>
      </c>
      <c r="V19" s="490">
        <f t="shared" si="9"/>
        <v>34.290433139492528</v>
      </c>
    </row>
    <row r="20" spans="2:22" ht="22" customHeight="1" x14ac:dyDescent="0.25">
      <c r="B20" s="28" t="s">
        <v>319</v>
      </c>
      <c r="C20" s="7" t="s">
        <v>314</v>
      </c>
      <c r="D20" s="466" t="str">
        <f t="shared" si="0"/>
        <v>2 panels-parallel</v>
      </c>
      <c r="E20" s="467">
        <v>2</v>
      </c>
      <c r="F20" s="467">
        <v>2</v>
      </c>
      <c r="G20" s="468">
        <v>1</v>
      </c>
      <c r="J20" s="482">
        <v>8</v>
      </c>
      <c r="K20" s="483">
        <v>2.0604960000000001</v>
      </c>
      <c r="L20" s="484">
        <f t="shared" si="1"/>
        <v>0.62800853398354162</v>
      </c>
      <c r="M20" s="485">
        <f t="shared" si="2"/>
        <v>6.2800853398354162E-4</v>
      </c>
      <c r="N20" s="486">
        <f t="shared" si="3"/>
        <v>50.375563639825053</v>
      </c>
      <c r="O20" s="483">
        <v>3.2639</v>
      </c>
      <c r="P20" s="484">
        <f t="shared" si="4"/>
        <v>0.1285</v>
      </c>
      <c r="Q20" s="483">
        <f t="shared" si="5"/>
        <v>8.3668735045259748</v>
      </c>
      <c r="R20" s="483">
        <v>3.3285999999999998</v>
      </c>
      <c r="S20" s="483">
        <f t="shared" si="6"/>
        <v>1.0145077720207254</v>
      </c>
      <c r="T20" s="488">
        <f t="shared" si="7"/>
        <v>1.0145077720207253E-3</v>
      </c>
      <c r="U20" s="489">
        <f t="shared" si="8"/>
        <v>41.834367522629876</v>
      </c>
      <c r="V20" s="490">
        <f t="shared" si="9"/>
        <v>27.192338889709418</v>
      </c>
    </row>
    <row r="21" spans="2:22" ht="22" customHeight="1" x14ac:dyDescent="0.25">
      <c r="B21" s="28" t="s">
        <v>319</v>
      </c>
      <c r="C21" s="7" t="s">
        <v>1</v>
      </c>
      <c r="D21" s="466" t="str">
        <f t="shared" si="0"/>
        <v>2 panels-para/ser</v>
      </c>
      <c r="E21" s="467">
        <v>0</v>
      </c>
      <c r="F21" s="467">
        <v>0</v>
      </c>
      <c r="G21" s="468">
        <v>0</v>
      </c>
      <c r="J21" s="482">
        <v>9</v>
      </c>
      <c r="K21" s="483">
        <v>2.5980880000000002</v>
      </c>
      <c r="L21" s="484">
        <f t="shared" si="1"/>
        <v>0.79185857970131057</v>
      </c>
      <c r="M21" s="485">
        <f t="shared" si="2"/>
        <v>7.918585797013106E-4</v>
      </c>
      <c r="N21" s="486">
        <f t="shared" si="3"/>
        <v>39.926911024076119</v>
      </c>
      <c r="O21" s="483">
        <v>2.9057599999999999</v>
      </c>
      <c r="P21" s="484">
        <f t="shared" si="4"/>
        <v>0.1144</v>
      </c>
      <c r="Q21" s="483">
        <f t="shared" si="5"/>
        <v>6.6314575922840957</v>
      </c>
      <c r="R21" s="483"/>
      <c r="S21" s="483" t="str">
        <f t="shared" si="6"/>
        <v/>
      </c>
      <c r="T21" s="488" t="str">
        <f t="shared" si="7"/>
        <v/>
      </c>
      <c r="U21" s="489">
        <f t="shared" si="8"/>
        <v>33.157287961420479</v>
      </c>
      <c r="V21" s="490">
        <f t="shared" si="9"/>
        <v>21.552237174923313</v>
      </c>
    </row>
    <row r="22" spans="2:22" ht="22" customHeight="1" x14ac:dyDescent="0.25">
      <c r="B22" s="462" t="s">
        <v>319</v>
      </c>
      <c r="C22" s="478" t="s">
        <v>325</v>
      </c>
      <c r="D22" s="479" t="str">
        <f t="shared" si="0"/>
        <v>2 panels-series</v>
      </c>
      <c r="E22" s="480">
        <v>2</v>
      </c>
      <c r="F22" s="480">
        <v>1</v>
      </c>
      <c r="G22" s="481">
        <v>2</v>
      </c>
      <c r="J22" s="482">
        <v>10</v>
      </c>
      <c r="K22" s="483">
        <v>3.276392</v>
      </c>
      <c r="L22" s="484">
        <f t="shared" si="1"/>
        <v>0.9985955501371534</v>
      </c>
      <c r="M22" s="485">
        <f t="shared" si="2"/>
        <v>9.9859555013715341E-4</v>
      </c>
      <c r="N22" s="486">
        <f t="shared" si="3"/>
        <v>31.678311942111087</v>
      </c>
      <c r="O22" s="483">
        <v>2.58826</v>
      </c>
      <c r="P22" s="484">
        <f t="shared" si="4"/>
        <v>0.1019</v>
      </c>
      <c r="Q22" s="483">
        <f t="shared" si="5"/>
        <v>5.2614484028724702</v>
      </c>
      <c r="R22" s="483">
        <v>8.8640000000000008</v>
      </c>
      <c r="S22" s="483">
        <f t="shared" si="6"/>
        <v>2.7016153611703748</v>
      </c>
      <c r="T22" s="488">
        <f t="shared" si="7"/>
        <v>2.701615361170375E-3</v>
      </c>
      <c r="U22" s="489">
        <f t="shared" si="8"/>
        <v>26.307242014362352</v>
      </c>
      <c r="V22" s="490">
        <f t="shared" si="9"/>
        <v>17.099707309335528</v>
      </c>
    </row>
    <row r="23" spans="2:22" ht="22" customHeight="1" x14ac:dyDescent="0.25">
      <c r="B23" s="28" t="s">
        <v>324</v>
      </c>
      <c r="C23" s="7" t="s">
        <v>314</v>
      </c>
      <c r="D23" s="466" t="str">
        <f t="shared" si="0"/>
        <v>3 panels-parallel</v>
      </c>
      <c r="E23" s="467">
        <v>3</v>
      </c>
      <c r="F23" s="467">
        <v>3</v>
      </c>
      <c r="G23" s="468">
        <v>1</v>
      </c>
      <c r="J23" s="482">
        <v>11</v>
      </c>
      <c r="K23" s="483">
        <v>4.1327999999999996</v>
      </c>
      <c r="L23" s="483">
        <f t="shared" si="1"/>
        <v>1.2596159707406278</v>
      </c>
      <c r="M23" s="485">
        <f t="shared" si="2"/>
        <v>1.2596159707406278E-3</v>
      </c>
      <c r="N23" s="486">
        <f t="shared" si="3"/>
        <v>25.097371377455193</v>
      </c>
      <c r="O23" s="483">
        <v>2.3037800000000002</v>
      </c>
      <c r="P23" s="484">
        <f t="shared" si="4"/>
        <v>9.0700000000000017E-2</v>
      </c>
      <c r="Q23" s="483">
        <f t="shared" si="5"/>
        <v>4.1684204888036396</v>
      </c>
      <c r="R23" s="483"/>
      <c r="S23" s="483" t="str">
        <f t="shared" si="6"/>
        <v/>
      </c>
      <c r="T23" s="488" t="str">
        <f t="shared" si="7"/>
        <v/>
      </c>
      <c r="U23" s="489">
        <f t="shared" si="8"/>
        <v>20.842102444018199</v>
      </c>
      <c r="V23" s="490">
        <f t="shared" si="9"/>
        <v>13.54736658861183</v>
      </c>
    </row>
    <row r="24" spans="2:22" ht="22" customHeight="1" x14ac:dyDescent="0.25">
      <c r="B24" s="28" t="s">
        <v>324</v>
      </c>
      <c r="C24" s="7" t="s">
        <v>1</v>
      </c>
      <c r="D24" s="466" t="str">
        <f t="shared" si="0"/>
        <v>3 panels-para/ser</v>
      </c>
      <c r="E24" s="467">
        <v>0</v>
      </c>
      <c r="F24" s="467">
        <v>0</v>
      </c>
      <c r="G24" s="468">
        <v>0</v>
      </c>
      <c r="J24" s="482">
        <v>12</v>
      </c>
      <c r="K24" s="483">
        <v>5.2086399999999999</v>
      </c>
      <c r="L24" s="483">
        <f t="shared" si="1"/>
        <v>1.5875160012191405</v>
      </c>
      <c r="M24" s="485">
        <f t="shared" si="2"/>
        <v>1.5875160012191404E-3</v>
      </c>
      <c r="N24" s="486">
        <f t="shared" si="3"/>
        <v>19.917571487926082</v>
      </c>
      <c r="O24" s="483">
        <v>2.0523199999999999</v>
      </c>
      <c r="P24" s="484">
        <f t="shared" si="4"/>
        <v>8.0799999999999997E-2</v>
      </c>
      <c r="Q24" s="483">
        <f t="shared" si="5"/>
        <v>3.3081079220935035</v>
      </c>
      <c r="R24" s="483"/>
      <c r="S24" s="483" t="str">
        <f t="shared" si="6"/>
        <v/>
      </c>
      <c r="T24" s="488" t="str">
        <f t="shared" si="7"/>
        <v/>
      </c>
      <c r="U24" s="489">
        <f t="shared" si="8"/>
        <v>16.540539610467519</v>
      </c>
      <c r="V24" s="490">
        <f t="shared" si="9"/>
        <v>10.751350746803888</v>
      </c>
    </row>
    <row r="25" spans="2:22" ht="22" customHeight="1" x14ac:dyDescent="0.25">
      <c r="B25" s="462" t="s">
        <v>324</v>
      </c>
      <c r="C25" s="478" t="s">
        <v>325</v>
      </c>
      <c r="D25" s="479" t="str">
        <f t="shared" si="0"/>
        <v>3 panels-series</v>
      </c>
      <c r="E25" s="480">
        <v>3</v>
      </c>
      <c r="F25" s="480">
        <v>1</v>
      </c>
      <c r="G25" s="481">
        <v>3</v>
      </c>
      <c r="J25" s="482">
        <v>13</v>
      </c>
      <c r="K25" s="483">
        <v>6.5698400000000001</v>
      </c>
      <c r="L25" s="483">
        <f t="shared" si="1"/>
        <v>2.0023895153916489</v>
      </c>
      <c r="M25" s="485">
        <f t="shared" si="2"/>
        <v>2.0023895153916489E-3</v>
      </c>
      <c r="N25" s="486">
        <f t="shared" si="3"/>
        <v>15.815344481149031</v>
      </c>
      <c r="O25" s="483">
        <v>1.8288</v>
      </c>
      <c r="P25" s="484">
        <f t="shared" si="4"/>
        <v>7.2000000000000008E-2</v>
      </c>
      <c r="Q25" s="483">
        <f t="shared" si="5"/>
        <v>2.6267693529023997</v>
      </c>
      <c r="R25" s="483"/>
      <c r="S25" s="483" t="str">
        <f t="shared" si="6"/>
        <v/>
      </c>
      <c r="T25" s="488" t="str">
        <f t="shared" si="7"/>
        <v/>
      </c>
      <c r="U25" s="489">
        <f t="shared" si="8"/>
        <v>13.133846764511999</v>
      </c>
      <c r="V25" s="490">
        <f t="shared" si="9"/>
        <v>8.5370003969328003</v>
      </c>
    </row>
    <row r="26" spans="2:22" ht="22" customHeight="1" x14ac:dyDescent="0.25">
      <c r="B26" s="28" t="s">
        <v>330</v>
      </c>
      <c r="C26" s="7" t="s">
        <v>314</v>
      </c>
      <c r="D26" s="466" t="str">
        <f t="shared" si="0"/>
        <v>4 panels-parallel</v>
      </c>
      <c r="E26" s="467">
        <v>4</v>
      </c>
      <c r="F26" s="467">
        <v>4</v>
      </c>
      <c r="G26" s="468">
        <v>1</v>
      </c>
      <c r="J26" s="482">
        <v>14</v>
      </c>
      <c r="K26" s="483">
        <v>8.282</v>
      </c>
      <c r="L26" s="483">
        <f t="shared" si="1"/>
        <v>2.5242304175556236</v>
      </c>
      <c r="M26" s="485">
        <f t="shared" si="2"/>
        <v>2.5242304175556235E-3</v>
      </c>
      <c r="N26" s="486">
        <f t="shared" si="3"/>
        <v>12.535155393053616</v>
      </c>
      <c r="O26" s="483">
        <v>1.6281399999999999</v>
      </c>
      <c r="P26" s="484">
        <f t="shared" si="4"/>
        <v>6.4100000000000004E-2</v>
      </c>
      <c r="Q26" s="483">
        <f t="shared" si="5"/>
        <v>2.0819629986301909</v>
      </c>
      <c r="R26" s="483"/>
      <c r="S26" s="483" t="str">
        <f t="shared" si="6"/>
        <v/>
      </c>
      <c r="T26" s="488" t="str">
        <f t="shared" si="7"/>
        <v/>
      </c>
      <c r="U26" s="489">
        <f t="shared" si="8"/>
        <v>10.409814993150954</v>
      </c>
      <c r="V26" s="490">
        <f t="shared" si="9"/>
        <v>6.7663797455481207</v>
      </c>
    </row>
    <row r="27" spans="2:22" ht="22" customHeight="1" x14ac:dyDescent="0.25">
      <c r="B27" s="28" t="s">
        <v>330</v>
      </c>
      <c r="C27" s="7" t="s">
        <v>1</v>
      </c>
      <c r="D27" s="466" t="str">
        <f t="shared" si="0"/>
        <v>4 panels-para/ser</v>
      </c>
      <c r="E27" s="467">
        <v>4</v>
      </c>
      <c r="F27" s="467">
        <v>2</v>
      </c>
      <c r="G27" s="468">
        <v>2</v>
      </c>
      <c r="J27" s="482">
        <v>15</v>
      </c>
      <c r="K27" s="487">
        <v>10.443519999999999</v>
      </c>
      <c r="L27" s="483">
        <f t="shared" si="1"/>
        <v>3.1830295641572692</v>
      </c>
      <c r="M27" s="485">
        <f t="shared" si="2"/>
        <v>3.1830295641572691E-3</v>
      </c>
      <c r="N27" s="487">
        <f t="shared" si="3"/>
        <v>9.9468571180137175</v>
      </c>
      <c r="O27" s="483">
        <v>1.45034</v>
      </c>
      <c r="P27" s="484">
        <f t="shared" si="4"/>
        <v>5.7100000000000005E-2</v>
      </c>
      <c r="Q27" s="483">
        <f t="shared" si="5"/>
        <v>1.6520727364769507</v>
      </c>
      <c r="R27" s="483"/>
      <c r="S27" s="483" t="str">
        <f t="shared" si="6"/>
        <v/>
      </c>
      <c r="T27" s="488" t="str">
        <f t="shared" si="7"/>
        <v/>
      </c>
      <c r="U27" s="489">
        <f t="shared" si="8"/>
        <v>8.260363682384753</v>
      </c>
      <c r="V27" s="490">
        <f t="shared" si="9"/>
        <v>5.3692363935500893</v>
      </c>
    </row>
    <row r="28" spans="2:22" ht="22" customHeight="1" x14ac:dyDescent="0.25">
      <c r="B28" s="462" t="s">
        <v>330</v>
      </c>
      <c r="C28" s="478" t="s">
        <v>325</v>
      </c>
      <c r="D28" s="479" t="str">
        <f t="shared" si="0"/>
        <v>4 panels-series</v>
      </c>
      <c r="E28" s="480">
        <v>4</v>
      </c>
      <c r="F28" s="480">
        <v>1</v>
      </c>
      <c r="G28" s="481">
        <v>4</v>
      </c>
      <c r="J28" s="482">
        <v>16</v>
      </c>
      <c r="K28" s="487">
        <v>13.17248</v>
      </c>
      <c r="L28" s="483">
        <f t="shared" si="1"/>
        <v>4.0147759829320329</v>
      </c>
      <c r="M28" s="485">
        <f t="shared" si="2"/>
        <v>4.0147759829320326E-3</v>
      </c>
      <c r="N28" s="487">
        <f t="shared" si="3"/>
        <v>7.8730151585324917</v>
      </c>
      <c r="O28" s="483">
        <v>1.2903199999999999</v>
      </c>
      <c r="P28" s="484">
        <f t="shared" si="4"/>
        <v>5.0799999999999998E-2</v>
      </c>
      <c r="Q28" s="483">
        <f t="shared" si="5"/>
        <v>1.3076284843507038</v>
      </c>
      <c r="R28" s="483"/>
      <c r="S28" s="483" t="str">
        <f t="shared" si="6"/>
        <v/>
      </c>
      <c r="T28" s="488" t="str">
        <f t="shared" si="7"/>
        <v/>
      </c>
      <c r="U28" s="489">
        <f t="shared" si="8"/>
        <v>6.5381424217535189</v>
      </c>
      <c r="V28" s="490">
        <f t="shared" si="9"/>
        <v>4.2497925741397875</v>
      </c>
    </row>
    <row r="29" spans="2:22" ht="22" customHeight="1" x14ac:dyDescent="0.25">
      <c r="B29" s="28" t="s">
        <v>334</v>
      </c>
      <c r="C29" s="7" t="s">
        <v>314</v>
      </c>
      <c r="D29" s="466" t="str">
        <f t="shared" si="0"/>
        <v>8 panels-parallel</v>
      </c>
      <c r="E29" s="467">
        <v>8</v>
      </c>
      <c r="F29" s="467">
        <v>8</v>
      </c>
      <c r="G29" s="468">
        <v>1</v>
      </c>
      <c r="J29" s="482">
        <v>17</v>
      </c>
      <c r="K29" s="487">
        <v>16.609919999999999</v>
      </c>
      <c r="L29" s="483">
        <f t="shared" si="1"/>
        <v>5.062456568119476</v>
      </c>
      <c r="M29" s="485">
        <f t="shared" si="2"/>
        <v>5.0624565681194758E-3</v>
      </c>
      <c r="N29" s="487">
        <f t="shared" si="3"/>
        <v>6.2605150957409554</v>
      </c>
      <c r="O29" s="483">
        <v>1.15062</v>
      </c>
      <c r="P29" s="484">
        <f t="shared" si="4"/>
        <v>4.53E-2</v>
      </c>
      <c r="Q29" s="483">
        <f t="shared" si="5"/>
        <v>1.0398084724917989</v>
      </c>
      <c r="R29" s="483"/>
      <c r="S29" s="483" t="str">
        <f t="shared" si="6"/>
        <v/>
      </c>
      <c r="T29" s="488" t="str">
        <f t="shared" si="7"/>
        <v/>
      </c>
      <c r="U29" s="489">
        <f t="shared" si="8"/>
        <v>5.1990423624589948</v>
      </c>
      <c r="V29" s="490">
        <f t="shared" si="9"/>
        <v>3.3793775355983469</v>
      </c>
    </row>
    <row r="30" spans="2:22" ht="22" customHeight="1" x14ac:dyDescent="0.25">
      <c r="B30" s="28" t="s">
        <v>334</v>
      </c>
      <c r="C30" s="7" t="s">
        <v>1</v>
      </c>
      <c r="D30" s="466" t="str">
        <f t="shared" si="0"/>
        <v>8 panels-para/ser</v>
      </c>
      <c r="E30" s="467">
        <v>8</v>
      </c>
      <c r="F30" s="467">
        <v>2</v>
      </c>
      <c r="G30" s="468">
        <v>4</v>
      </c>
      <c r="J30" s="482">
        <v>18</v>
      </c>
      <c r="K30" s="487">
        <v>20.94</v>
      </c>
      <c r="L30" s="483">
        <f t="shared" ref="L30" si="10">M30*1000</f>
        <v>6.3822005486132278</v>
      </c>
      <c r="M30" s="485">
        <f t="shared" ref="M30" si="11">IF(K30="","",K30/ft_per_km)</f>
        <v>6.382200548613228E-3</v>
      </c>
      <c r="N30" s="487">
        <f t="shared" ref="N30" si="12">Q30*mm_per_foot/cubicmm_per_cubic_meter*copper_kg_per_cu_meter*lbs_per_kg</f>
        <v>6.2605150957409554</v>
      </c>
      <c r="O30" s="483">
        <v>1.15062</v>
      </c>
      <c r="P30" s="484">
        <f t="shared" ref="P30" si="13">O30/mm_per_in</f>
        <v>4.53E-2</v>
      </c>
      <c r="Q30" s="483">
        <f t="shared" ref="Q30" si="14">3.14159*(O30/2)*(O30/2)</f>
        <v>1.0398084724917989</v>
      </c>
      <c r="R30" s="483"/>
      <c r="S30" s="483" t="str">
        <f t="shared" ref="S30" si="15">IF(T30="","",T30*1000)</f>
        <v/>
      </c>
      <c r="T30" s="488" t="str">
        <f t="shared" ref="T30" si="16">IF(R30="","",R30/ft_per_km)</f>
        <v/>
      </c>
      <c r="U30" s="489">
        <f t="shared" ref="U30" si="17">5*Q30</f>
        <v>5.1990423624589948</v>
      </c>
      <c r="V30" s="490">
        <f t="shared" ref="V30" si="18">U30*0.65</f>
        <v>3.3793775355983469</v>
      </c>
    </row>
    <row r="31" spans="2:22" ht="22" customHeight="1" thickBot="1" x14ac:dyDescent="0.3">
      <c r="B31" s="462" t="s">
        <v>334</v>
      </c>
      <c r="C31" s="478" t="s">
        <v>325</v>
      </c>
      <c r="D31" s="479" t="str">
        <f t="shared" si="0"/>
        <v>8 panels-series</v>
      </c>
      <c r="E31" s="480">
        <v>8</v>
      </c>
      <c r="F31" s="480">
        <v>1</v>
      </c>
      <c r="G31" s="481">
        <v>8</v>
      </c>
      <c r="J31" s="491">
        <v>20</v>
      </c>
      <c r="K31" s="492">
        <v>33.31</v>
      </c>
      <c r="L31" s="493">
        <f t="shared" ref="L31" si="19">M31*1000</f>
        <v>10.152392563242914</v>
      </c>
      <c r="M31" s="494">
        <f t="shared" ref="M31" si="20">IF(K31="","",K31/ft_per_km)</f>
        <v>1.0152392563242914E-2</v>
      </c>
      <c r="N31" s="492">
        <f t="shared" ref="N31" si="21">Q31*mm_per_foot/cubicmm_per_cubic_meter*copper_kg_per_cu_meter*lbs_per_kg</f>
        <v>4.9547729202139905</v>
      </c>
      <c r="O31" s="493">
        <v>1.02362</v>
      </c>
      <c r="P31" s="495">
        <f t="shared" ref="P31" si="22">O31/mm_per_in</f>
        <v>4.0300000000000002E-2</v>
      </c>
      <c r="Q31" s="493">
        <f t="shared" ref="Q31" si="23">3.14159*(O31/2)*(O31/2)</f>
        <v>0.822937854620999</v>
      </c>
      <c r="R31" s="493"/>
      <c r="S31" s="493" t="str">
        <f t="shared" ref="S31" si="24">IF(T31="","",T31*1000)</f>
        <v/>
      </c>
      <c r="T31" s="496" t="str">
        <f t="shared" ref="T31" si="25">IF(R31="","",R31/ft_per_km)</f>
        <v/>
      </c>
      <c r="U31" s="497">
        <f t="shared" ref="U31" si="26">5*Q31</f>
        <v>4.1146892731049949</v>
      </c>
      <c r="V31" s="498">
        <f t="shared" ref="V31" si="27">U31*0.65</f>
        <v>2.6745480275182469</v>
      </c>
    </row>
    <row r="32" spans="2:22" ht="22" customHeight="1" x14ac:dyDescent="0.25">
      <c r="B32" s="28" t="s">
        <v>340</v>
      </c>
      <c r="C32" s="7" t="s">
        <v>314</v>
      </c>
      <c r="D32" s="466" t="str">
        <f t="shared" si="0"/>
        <v>12 panels-parallel</v>
      </c>
      <c r="E32" s="467">
        <v>12</v>
      </c>
      <c r="F32" s="467">
        <v>12</v>
      </c>
      <c r="G32" s="468">
        <v>1</v>
      </c>
      <c r="J32" s="1"/>
      <c r="K32" s="1"/>
      <c r="L32" s="1"/>
    </row>
    <row r="33" spans="2:23" ht="22" customHeight="1" x14ac:dyDescent="0.25">
      <c r="B33" s="28" t="s">
        <v>340</v>
      </c>
      <c r="C33" s="7" t="s">
        <v>1</v>
      </c>
      <c r="D33" s="466" t="str">
        <f t="shared" si="0"/>
        <v>12 panels-para/ser</v>
      </c>
      <c r="E33" s="467">
        <v>12</v>
      </c>
      <c r="F33" s="467">
        <v>3</v>
      </c>
      <c r="G33" s="468">
        <v>4</v>
      </c>
      <c r="J33" s="1" t="s">
        <v>367</v>
      </c>
      <c r="K33" s="1"/>
      <c r="L33" s="1"/>
    </row>
    <row r="34" spans="2:23" ht="22" customHeight="1" x14ac:dyDescent="0.25">
      <c r="B34" s="462" t="s">
        <v>340</v>
      </c>
      <c r="C34" s="478" t="s">
        <v>325</v>
      </c>
      <c r="D34" s="479" t="str">
        <f t="shared" si="0"/>
        <v>12 panels-series</v>
      </c>
      <c r="E34" s="480">
        <v>12</v>
      </c>
      <c r="F34" s="480">
        <v>1</v>
      </c>
      <c r="G34" s="481">
        <v>12</v>
      </c>
      <c r="J34" s="1"/>
      <c r="K34" s="1"/>
      <c r="L34" s="1"/>
      <c r="P34" s="7"/>
      <c r="Q34" s="7"/>
      <c r="R34" s="7"/>
    </row>
    <row r="35" spans="2:23" ht="22" customHeight="1" thickBot="1" x14ac:dyDescent="0.3">
      <c r="B35" s="28" t="s">
        <v>0</v>
      </c>
      <c r="C35" s="7" t="s">
        <v>314</v>
      </c>
      <c r="D35" s="466" t="str">
        <f t="shared" si="0"/>
        <v>16 panels-parallel</v>
      </c>
      <c r="E35" s="467">
        <v>16</v>
      </c>
      <c r="F35" s="467">
        <v>16</v>
      </c>
      <c r="G35" s="468">
        <v>1</v>
      </c>
      <c r="J35" s="89" t="s">
        <v>368</v>
      </c>
      <c r="K35" s="89" t="s">
        <v>64</v>
      </c>
      <c r="L35" s="89" t="s">
        <v>192</v>
      </c>
      <c r="M35" s="89" t="s">
        <v>369</v>
      </c>
      <c r="N35" s="89" t="s">
        <v>31</v>
      </c>
      <c r="O35" s="89" t="s">
        <v>370</v>
      </c>
      <c r="P35" s="89" t="s">
        <v>371</v>
      </c>
      <c r="Q35" s="89" t="s">
        <v>67</v>
      </c>
      <c r="R35" s="89" t="s">
        <v>372</v>
      </c>
      <c r="S35" s="89" t="s">
        <v>373</v>
      </c>
      <c r="T35" s="89" t="s">
        <v>374</v>
      </c>
      <c r="U35" s="89" t="s">
        <v>375</v>
      </c>
      <c r="V35" s="89" t="s">
        <v>376</v>
      </c>
      <c r="W35" s="89" t="s">
        <v>377</v>
      </c>
    </row>
    <row r="36" spans="2:23" ht="22" customHeight="1" x14ac:dyDescent="0.25">
      <c r="B36" s="28" t="s">
        <v>0</v>
      </c>
      <c r="C36" s="7" t="s">
        <v>1</v>
      </c>
      <c r="D36" s="466" t="str">
        <f t="shared" si="0"/>
        <v>16 panels-para/ser</v>
      </c>
      <c r="E36" s="467">
        <v>16</v>
      </c>
      <c r="F36" s="467">
        <v>4</v>
      </c>
      <c r="G36" s="468">
        <v>4</v>
      </c>
      <c r="J36" s="499" t="s">
        <v>241</v>
      </c>
      <c r="K36" s="500">
        <v>12.5</v>
      </c>
      <c r="L36" s="500">
        <v>10</v>
      </c>
      <c r="M36" s="500" t="s">
        <v>40</v>
      </c>
      <c r="N36" s="501">
        <v>1.04681E-3</v>
      </c>
      <c r="O36" s="502">
        <f t="shared" ref="O36:O46" si="28">IF(OR(K36="",N36=""),"",K36*2*N36)</f>
        <v>2.6170249999999999E-2</v>
      </c>
      <c r="P36" s="503" t="s">
        <v>378</v>
      </c>
      <c r="Q36" s="503" t="s">
        <v>379</v>
      </c>
      <c r="R36" s="503">
        <f>106.95/100*K36</f>
        <v>13.368750000000002</v>
      </c>
      <c r="S36" s="504">
        <f t="shared" ref="S36:S46" si="29">IF(OR(K36="",R36=""),"",R36/K36)</f>
        <v>1.0695000000000001</v>
      </c>
      <c r="T36" s="503">
        <f>R36+cost_pp30whs*2</f>
        <v>15.683750000000002</v>
      </c>
      <c r="U36" s="503"/>
      <c r="V36" s="505">
        <v>26</v>
      </c>
      <c r="W36" s="506" t="s">
        <v>380</v>
      </c>
    </row>
    <row r="37" spans="2:23" ht="22" customHeight="1" x14ac:dyDescent="0.25">
      <c r="B37" s="28" t="s">
        <v>0</v>
      </c>
      <c r="C37" s="7" t="s">
        <v>325</v>
      </c>
      <c r="D37" s="479" t="str">
        <f t="shared" si="0"/>
        <v>16 panels-series</v>
      </c>
      <c r="E37" s="480">
        <v>16</v>
      </c>
      <c r="F37" s="480">
        <v>1</v>
      </c>
      <c r="G37" s="481">
        <v>16</v>
      </c>
      <c r="J37" s="507" t="s">
        <v>100</v>
      </c>
      <c r="K37" s="508">
        <v>50</v>
      </c>
      <c r="L37" s="508">
        <v>6</v>
      </c>
      <c r="M37" s="508" t="s">
        <v>40</v>
      </c>
      <c r="N37" s="509">
        <v>3.9500000000000001E-4</v>
      </c>
      <c r="O37" s="510">
        <f t="shared" si="28"/>
        <v>3.95E-2</v>
      </c>
      <c r="P37" s="511" t="s">
        <v>84</v>
      </c>
      <c r="Q37" s="511" t="s">
        <v>69</v>
      </c>
      <c r="R37" s="511">
        <f>74.37</f>
        <v>74.37</v>
      </c>
      <c r="S37" s="512">
        <f t="shared" si="29"/>
        <v>1.4874000000000001</v>
      </c>
      <c r="T37" s="511">
        <f>R37+cost_sb50ends*2+cost_4fths+cost_reelwadapt</f>
        <v>122.29232500000001</v>
      </c>
      <c r="U37" s="511"/>
      <c r="V37" s="513">
        <v>66</v>
      </c>
      <c r="W37" s="514" t="s">
        <v>381</v>
      </c>
    </row>
    <row r="38" spans="2:23" ht="22" customHeight="1" x14ac:dyDescent="0.25">
      <c r="J38" s="515" t="s">
        <v>126</v>
      </c>
      <c r="K38" s="516">
        <v>25</v>
      </c>
      <c r="L38" s="516">
        <v>10</v>
      </c>
      <c r="M38" s="516" t="s">
        <v>40</v>
      </c>
      <c r="N38" s="517">
        <v>1.04681E-3</v>
      </c>
      <c r="O38" s="518">
        <f t="shared" si="28"/>
        <v>5.2340499999999998E-2</v>
      </c>
      <c r="P38" s="519" t="s">
        <v>378</v>
      </c>
      <c r="Q38" s="519" t="s">
        <v>379</v>
      </c>
      <c r="R38" s="519">
        <f>106.95/100*K38</f>
        <v>26.737500000000004</v>
      </c>
      <c r="S38" s="520">
        <f t="shared" si="29"/>
        <v>1.0695000000000001</v>
      </c>
      <c r="T38" s="519">
        <f>R38+cost_pp30whs*2</f>
        <v>29.052500000000006</v>
      </c>
      <c r="U38" s="519"/>
      <c r="V38" s="521">
        <v>26</v>
      </c>
      <c r="W38" s="522" t="s">
        <v>380</v>
      </c>
    </row>
    <row r="39" spans="2:23" ht="22" customHeight="1" x14ac:dyDescent="0.25">
      <c r="J39" s="523" t="s">
        <v>242</v>
      </c>
      <c r="K39" s="524">
        <v>16.420000000000002</v>
      </c>
      <c r="L39" s="525">
        <v>10</v>
      </c>
      <c r="M39" s="525" t="s">
        <v>40</v>
      </c>
      <c r="N39" s="526">
        <v>1.7185185185185185E-3</v>
      </c>
      <c r="O39" s="527">
        <f t="shared" si="28"/>
        <v>5.6436148148148152E-2</v>
      </c>
      <c r="P39" s="528" t="s">
        <v>79</v>
      </c>
      <c r="Q39" s="528" t="s">
        <v>79</v>
      </c>
      <c r="R39" s="528">
        <f>32/25*K39</f>
        <v>21.017600000000002</v>
      </c>
      <c r="S39" s="529">
        <f t="shared" si="29"/>
        <v>1.28</v>
      </c>
      <c r="T39" s="528">
        <f>R39+cost_pp30whs*2</f>
        <v>23.332600000000003</v>
      </c>
      <c r="U39" s="528"/>
      <c r="V39" s="530">
        <v>26</v>
      </c>
      <c r="W39" s="531" t="s">
        <v>380</v>
      </c>
    </row>
    <row r="40" spans="2:23" ht="22" customHeight="1" x14ac:dyDescent="0.25">
      <c r="B40" s="89" t="s">
        <v>360</v>
      </c>
      <c r="C40" s="89" t="s">
        <v>382</v>
      </c>
      <c r="D40" s="89" t="s">
        <v>382</v>
      </c>
      <c r="E40" s="89" t="s">
        <v>382</v>
      </c>
      <c r="F40" s="89" t="s">
        <v>383</v>
      </c>
      <c r="G40" s="89" t="s">
        <v>384</v>
      </c>
      <c r="H40" s="89" t="s">
        <v>384</v>
      </c>
      <c r="J40" s="532" t="s">
        <v>102</v>
      </c>
      <c r="K40" s="533">
        <v>100</v>
      </c>
      <c r="L40" s="533">
        <v>8</v>
      </c>
      <c r="M40" s="533" t="s">
        <v>40</v>
      </c>
      <c r="N40" s="534">
        <v>4.975E-4</v>
      </c>
      <c r="O40" s="535">
        <f t="shared" si="28"/>
        <v>9.9500000000000005E-2</v>
      </c>
      <c r="P40" s="536" t="s">
        <v>84</v>
      </c>
      <c r="Q40" s="536" t="s">
        <v>379</v>
      </c>
      <c r="R40" s="536">
        <f>181.85</f>
        <v>181.85</v>
      </c>
      <c r="S40" s="537">
        <f t="shared" si="29"/>
        <v>1.8185</v>
      </c>
      <c r="T40" s="536">
        <f>R40+cost_reelwadapt+cost_sb50*2</f>
        <v>213.12232499999999</v>
      </c>
      <c r="U40" s="536"/>
      <c r="V40" s="538">
        <v>53</v>
      </c>
      <c r="W40" s="539" t="s">
        <v>381</v>
      </c>
    </row>
    <row r="41" spans="2:23" ht="22" customHeight="1" x14ac:dyDescent="0.25">
      <c r="B41" s="89"/>
      <c r="C41" s="89" t="s">
        <v>385</v>
      </c>
      <c r="D41" s="89" t="s">
        <v>385</v>
      </c>
      <c r="E41" s="89" t="s">
        <v>386</v>
      </c>
      <c r="F41" s="89" t="s">
        <v>387</v>
      </c>
      <c r="G41" s="89" t="s">
        <v>388</v>
      </c>
      <c r="H41" s="89" t="s">
        <v>388</v>
      </c>
      <c r="J41" s="540" t="s">
        <v>243</v>
      </c>
      <c r="K41" s="541">
        <v>50</v>
      </c>
      <c r="L41" s="541">
        <v>10</v>
      </c>
      <c r="M41" s="541" t="s">
        <v>40</v>
      </c>
      <c r="N41" s="542">
        <v>1.04681E-3</v>
      </c>
      <c r="O41" s="543">
        <f t="shared" si="28"/>
        <v>0.104681</v>
      </c>
      <c r="P41" s="544" t="s">
        <v>378</v>
      </c>
      <c r="Q41" s="544" t="s">
        <v>379</v>
      </c>
      <c r="R41" s="544">
        <f>106.95/100*K41</f>
        <v>53.475000000000009</v>
      </c>
      <c r="S41" s="545">
        <f t="shared" si="29"/>
        <v>1.0695000000000001</v>
      </c>
      <c r="T41" s="544">
        <f>R41+cost_pp30whs*2</f>
        <v>55.790000000000006</v>
      </c>
      <c r="U41" s="544"/>
      <c r="V41" s="546">
        <v>26</v>
      </c>
      <c r="W41" s="547" t="s">
        <v>389</v>
      </c>
    </row>
    <row r="42" spans="2:23" ht="22" customHeight="1" thickBot="1" x14ac:dyDescent="0.3">
      <c r="B42" s="89"/>
      <c r="C42" s="89" t="s">
        <v>390</v>
      </c>
      <c r="D42" s="89" t="s">
        <v>391</v>
      </c>
      <c r="E42" s="89" t="s">
        <v>391</v>
      </c>
      <c r="F42" s="89" t="s">
        <v>392</v>
      </c>
      <c r="G42" s="89" t="s">
        <v>393</v>
      </c>
      <c r="H42" s="89" t="s">
        <v>394</v>
      </c>
      <c r="J42" s="548" t="s">
        <v>244</v>
      </c>
      <c r="K42" s="549">
        <v>25</v>
      </c>
      <c r="L42" s="549">
        <v>10</v>
      </c>
      <c r="M42" s="549" t="s">
        <v>45</v>
      </c>
      <c r="N42" s="550">
        <v>2.7014999999999999E-3</v>
      </c>
      <c r="O42" s="551">
        <f t="shared" si="28"/>
        <v>0.135075</v>
      </c>
      <c r="P42" s="552" t="s">
        <v>84</v>
      </c>
      <c r="Q42" s="552" t="s">
        <v>76</v>
      </c>
      <c r="R42" s="552">
        <f>107.88/4/4</f>
        <v>6.7424999999999997</v>
      </c>
      <c r="S42" s="553">
        <f t="shared" si="29"/>
        <v>0.2697</v>
      </c>
      <c r="T42" s="552">
        <f>R42+cost_pp30whs*2</f>
        <v>9.0574999999999992</v>
      </c>
      <c r="U42" s="552"/>
      <c r="V42" s="554">
        <v>17</v>
      </c>
      <c r="W42" s="555" t="s">
        <v>380</v>
      </c>
    </row>
    <row r="43" spans="2:23" ht="22" customHeight="1" x14ac:dyDescent="0.25">
      <c r="B43" s="556" t="s">
        <v>395</v>
      </c>
      <c r="C43" s="557">
        <f t="shared" ref="C43:C86" si="30">D43/25.4</f>
        <v>0.46000000000000008</v>
      </c>
      <c r="D43" s="395">
        <f t="shared" ref="D43:D86" si="31">0.127*POWER(92,(36-B43)/39)</f>
        <v>11.684000000000001</v>
      </c>
      <c r="E43" s="395"/>
      <c r="F43" s="418">
        <f t="shared" ref="F43:F86" si="32">POWER(D43/2,2)*3.141592654</f>
        <v>107.21930259103047</v>
      </c>
      <c r="G43" s="558">
        <f t="shared" ref="G43:G55" si="33">tencu1k/F43*tencross</f>
        <v>4.9015126546684579E-2</v>
      </c>
      <c r="H43" s="559">
        <f t="shared" ref="H43:H86" si="34">G43*3.28084</f>
        <v>0.16081078777942462</v>
      </c>
      <c r="J43" s="540" t="s">
        <v>103</v>
      </c>
      <c r="K43" s="541">
        <v>100</v>
      </c>
      <c r="L43" s="541">
        <v>10</v>
      </c>
      <c r="M43" s="541" t="s">
        <v>40</v>
      </c>
      <c r="N43" s="542">
        <v>1.04681E-3</v>
      </c>
      <c r="O43" s="543">
        <f t="shared" si="28"/>
        <v>0.20936199999999999</v>
      </c>
      <c r="P43" s="544" t="s">
        <v>378</v>
      </c>
      <c r="Q43" s="544" t="s">
        <v>379</v>
      </c>
      <c r="R43" s="544">
        <f>106.95/100*K43</f>
        <v>106.95000000000002</v>
      </c>
      <c r="S43" s="545">
        <f t="shared" si="29"/>
        <v>1.0695000000000001</v>
      </c>
      <c r="T43" s="544">
        <f>R43+cost_pp30whs*2</f>
        <v>109.26500000000001</v>
      </c>
      <c r="U43" s="544"/>
      <c r="V43" s="546">
        <v>26</v>
      </c>
      <c r="W43" s="547" t="s">
        <v>389</v>
      </c>
    </row>
    <row r="44" spans="2:23" ht="22" customHeight="1" x14ac:dyDescent="0.25">
      <c r="B44" s="560" t="s">
        <v>396</v>
      </c>
      <c r="C44" s="58">
        <f t="shared" si="30"/>
        <v>0.40964183004149551</v>
      </c>
      <c r="D44" s="55">
        <f t="shared" si="31"/>
        <v>10.404902483053986</v>
      </c>
      <c r="E44" s="55"/>
      <c r="F44" s="57">
        <f t="shared" si="32"/>
        <v>85.028772585380139</v>
      </c>
      <c r="G44" s="110">
        <f t="shared" si="33"/>
        <v>6.1806933405625014E-2</v>
      </c>
      <c r="H44" s="561">
        <f t="shared" si="34"/>
        <v>0.20277865939451076</v>
      </c>
      <c r="J44" s="548" t="s">
        <v>245</v>
      </c>
      <c r="K44" s="549">
        <v>50</v>
      </c>
      <c r="L44" s="549">
        <v>10</v>
      </c>
      <c r="M44" s="549" t="s">
        <v>45</v>
      </c>
      <c r="N44" s="550">
        <v>2.7014999999999999E-3</v>
      </c>
      <c r="O44" s="551">
        <f t="shared" si="28"/>
        <v>0.27015</v>
      </c>
      <c r="P44" s="552" t="s">
        <v>84</v>
      </c>
      <c r="Q44" s="552" t="s">
        <v>76</v>
      </c>
      <c r="R44" s="552">
        <f>107.88/4/2</f>
        <v>13.484999999999999</v>
      </c>
      <c r="S44" s="553">
        <f t="shared" si="29"/>
        <v>0.2697</v>
      </c>
      <c r="T44" s="552">
        <f>R44+cost_pp30whs*2</f>
        <v>15.799999999999999</v>
      </c>
      <c r="U44" s="552"/>
      <c r="V44" s="554">
        <v>17</v>
      </c>
      <c r="W44" s="555" t="s">
        <v>380</v>
      </c>
    </row>
    <row r="45" spans="2:23" ht="22" customHeight="1" x14ac:dyDescent="0.25">
      <c r="B45" s="560" t="s">
        <v>397</v>
      </c>
      <c r="C45" s="58">
        <f t="shared" si="30"/>
        <v>0.36479658460814246</v>
      </c>
      <c r="D45" s="58">
        <f t="shared" si="31"/>
        <v>9.2658332490468176</v>
      </c>
      <c r="E45" s="58"/>
      <c r="F45" s="57">
        <f t="shared" si="32"/>
        <v>67.430882244715505</v>
      </c>
      <c r="G45" s="110">
        <f t="shared" si="33"/>
        <v>7.7937104036014337E-2</v>
      </c>
      <c r="H45" s="561">
        <f t="shared" si="34"/>
        <v>0.25569916840551726</v>
      </c>
      <c r="J45" s="562" t="s">
        <v>246</v>
      </c>
      <c r="K45" s="11">
        <v>100</v>
      </c>
      <c r="L45" s="11">
        <v>12</v>
      </c>
      <c r="M45" s="11" t="s">
        <v>40</v>
      </c>
      <c r="N45" s="359">
        <v>2.0820000000000001E-3</v>
      </c>
      <c r="O45" s="117">
        <f t="shared" si="28"/>
        <v>0.41639999999999999</v>
      </c>
      <c r="P45" s="563" t="s">
        <v>84</v>
      </c>
      <c r="Q45" s="563" t="s">
        <v>81</v>
      </c>
      <c r="R45" s="563">
        <v>87</v>
      </c>
      <c r="S45" s="564">
        <f t="shared" si="29"/>
        <v>0.87</v>
      </c>
      <c r="T45" s="563">
        <f>R45</f>
        <v>87</v>
      </c>
      <c r="U45" s="563"/>
      <c r="V45" s="565">
        <v>17</v>
      </c>
      <c r="W45" s="566" t="s">
        <v>398</v>
      </c>
    </row>
    <row r="46" spans="2:23" ht="22" customHeight="1" thickBot="1" x14ac:dyDescent="0.3">
      <c r="B46" s="560" t="s">
        <v>399</v>
      </c>
      <c r="C46" s="58">
        <f t="shared" si="30"/>
        <v>0.32486074024297107</v>
      </c>
      <c r="D46" s="58">
        <f t="shared" si="31"/>
        <v>8.2514628021714653</v>
      </c>
      <c r="E46" s="58"/>
      <c r="F46" s="57">
        <f t="shared" si="32"/>
        <v>53.475120739100078</v>
      </c>
      <c r="G46" s="110">
        <f t="shared" si="33"/>
        <v>9.8276873658444897E-2</v>
      </c>
      <c r="H46" s="561">
        <f t="shared" si="34"/>
        <v>0.32243069817357234</v>
      </c>
      <c r="J46" s="567" t="s">
        <v>105</v>
      </c>
      <c r="K46" s="568">
        <v>100</v>
      </c>
      <c r="L46" s="568">
        <v>10</v>
      </c>
      <c r="M46" s="568" t="s">
        <v>45</v>
      </c>
      <c r="N46" s="569">
        <v>2.7014999999999999E-3</v>
      </c>
      <c r="O46" s="570">
        <f t="shared" si="28"/>
        <v>0.5403</v>
      </c>
      <c r="P46" s="571" t="s">
        <v>84</v>
      </c>
      <c r="Q46" s="571" t="s">
        <v>76</v>
      </c>
      <c r="R46" s="571">
        <f>107.88/4</f>
        <v>26.97</v>
      </c>
      <c r="S46" s="572">
        <f t="shared" si="29"/>
        <v>0.2697</v>
      </c>
      <c r="T46" s="571">
        <f>R46+cost_reelwadapt+cost_pp30whs*2</f>
        <v>50.157325</v>
      </c>
      <c r="U46" s="571"/>
      <c r="V46" s="573">
        <v>17</v>
      </c>
      <c r="W46" s="574" t="s">
        <v>381</v>
      </c>
    </row>
    <row r="47" spans="2:23" ht="22" customHeight="1" x14ac:dyDescent="0.25">
      <c r="B47" s="411">
        <f t="shared" ref="B47:B86" si="35">B46+1</f>
        <v>1</v>
      </c>
      <c r="C47" s="58">
        <f t="shared" si="30"/>
        <v>0.28929684378644693</v>
      </c>
      <c r="D47" s="58">
        <f t="shared" si="31"/>
        <v>7.3481398321757512</v>
      </c>
      <c r="E47" s="58"/>
      <c r="F47" s="57">
        <f t="shared" si="32"/>
        <v>42.407698711155973</v>
      </c>
      <c r="G47" s="58">
        <f t="shared" si="33"/>
        <v>0.12392484960199271</v>
      </c>
      <c r="H47" s="561">
        <f t="shared" si="34"/>
        <v>0.40657760356820177</v>
      </c>
      <c r="J47" s="1"/>
    </row>
    <row r="48" spans="2:23" ht="22" customHeight="1" x14ac:dyDescent="0.25">
      <c r="B48" s="411">
        <f t="shared" si="35"/>
        <v>2</v>
      </c>
      <c r="C48" s="58">
        <f t="shared" si="30"/>
        <v>0.25762627937806243</v>
      </c>
      <c r="D48" s="58">
        <f t="shared" si="31"/>
        <v>6.543707496202785</v>
      </c>
      <c r="E48" s="58"/>
      <c r="F48" s="57">
        <f t="shared" si="32"/>
        <v>33.630834023740888</v>
      </c>
      <c r="G48" s="58">
        <f t="shared" si="33"/>
        <v>0.15626635013085677</v>
      </c>
      <c r="H48" s="561">
        <f t="shared" si="34"/>
        <v>0.51268489216332014</v>
      </c>
    </row>
    <row r="49" spans="2:23" ht="22" customHeight="1" x14ac:dyDescent="0.25">
      <c r="B49" s="411">
        <f t="shared" si="35"/>
        <v>3</v>
      </c>
      <c r="C49" s="58">
        <f t="shared" si="30"/>
        <v>0.22942282728524147</v>
      </c>
      <c r="D49" s="58">
        <f t="shared" si="31"/>
        <v>5.8273398130451328</v>
      </c>
      <c r="E49" s="58"/>
      <c r="F49" s="57">
        <f t="shared" si="32"/>
        <v>26.67046388996518</v>
      </c>
      <c r="G49" s="58">
        <f t="shared" si="33"/>
        <v>0.19704822932322402</v>
      </c>
      <c r="H49" s="561">
        <f t="shared" si="34"/>
        <v>0.64648371269280624</v>
      </c>
      <c r="J49" s="1" t="s">
        <v>400</v>
      </c>
    </row>
    <row r="50" spans="2:23" ht="22" customHeight="1" x14ac:dyDescent="0.25">
      <c r="B50" s="411">
        <f t="shared" si="35"/>
        <v>4</v>
      </c>
      <c r="C50" s="58">
        <f t="shared" si="30"/>
        <v>0.20430692787482668</v>
      </c>
      <c r="D50" s="58">
        <f t="shared" si="31"/>
        <v>5.1893959680205972</v>
      </c>
      <c r="E50" s="58"/>
      <c r="F50" s="57">
        <f t="shared" si="32"/>
        <v>21.150639428204546</v>
      </c>
      <c r="G50" s="58">
        <f t="shared" si="33"/>
        <v>0.24847322950144712</v>
      </c>
      <c r="H50" s="561">
        <f t="shared" si="34"/>
        <v>0.81520091027752772</v>
      </c>
      <c r="I50" s="7"/>
      <c r="J50" s="1"/>
      <c r="P50" s="575"/>
    </row>
    <row r="51" spans="2:23" ht="22" customHeight="1" thickBot="1" x14ac:dyDescent="0.3">
      <c r="B51" s="411">
        <f t="shared" si="35"/>
        <v>5</v>
      </c>
      <c r="C51" s="58">
        <f t="shared" si="30"/>
        <v>0.18194057353217344</v>
      </c>
      <c r="D51" s="58">
        <f t="shared" si="31"/>
        <v>4.6212905677172049</v>
      </c>
      <c r="E51" s="58"/>
      <c r="F51" s="57">
        <f t="shared" si="32"/>
        <v>16.773219621059397</v>
      </c>
      <c r="G51" s="58">
        <f t="shared" si="33"/>
        <v>0.31331895744978594</v>
      </c>
      <c r="H51" s="421">
        <f t="shared" si="34"/>
        <v>1.0279493683595557</v>
      </c>
      <c r="J51" s="89" t="s">
        <v>368</v>
      </c>
      <c r="K51" s="89" t="s">
        <v>64</v>
      </c>
      <c r="L51" s="89" t="s">
        <v>192</v>
      </c>
      <c r="M51" s="89" t="s">
        <v>369</v>
      </c>
      <c r="N51" s="89" t="s">
        <v>31</v>
      </c>
      <c r="O51" s="89" t="s">
        <v>370</v>
      </c>
      <c r="P51" s="576" t="s">
        <v>371</v>
      </c>
      <c r="Q51" s="89" t="s">
        <v>67</v>
      </c>
      <c r="R51" s="89" t="s">
        <v>372</v>
      </c>
      <c r="S51" s="89" t="s">
        <v>373</v>
      </c>
      <c r="T51" s="89" t="s">
        <v>374</v>
      </c>
      <c r="U51" s="89" t="s">
        <v>375</v>
      </c>
      <c r="V51" s="89" t="s">
        <v>376</v>
      </c>
      <c r="W51" s="89" t="s">
        <v>377</v>
      </c>
    </row>
    <row r="52" spans="2:23" ht="22" customHeight="1" x14ac:dyDescent="0.25">
      <c r="B52" s="411">
        <f t="shared" si="35"/>
        <v>6</v>
      </c>
      <c r="C52" s="58">
        <f t="shared" si="30"/>
        <v>0.16202275978373662</v>
      </c>
      <c r="D52" s="58">
        <f t="shared" si="31"/>
        <v>4.1153780985069099</v>
      </c>
      <c r="E52" s="58">
        <v>5.6</v>
      </c>
      <c r="F52" s="57">
        <f t="shared" si="32"/>
        <v>13.301767892705989</v>
      </c>
      <c r="G52" s="58">
        <f t="shared" si="33"/>
        <v>0.39508791065497384</v>
      </c>
      <c r="H52" s="421">
        <f t="shared" si="34"/>
        <v>1.2962202207932643</v>
      </c>
      <c r="J52" s="577" t="s">
        <v>100</v>
      </c>
      <c r="K52" s="37">
        <v>50</v>
      </c>
      <c r="L52" s="37">
        <v>6</v>
      </c>
      <c r="M52" s="37" t="s">
        <v>40</v>
      </c>
      <c r="N52" s="39">
        <v>3.9500000000000001E-4</v>
      </c>
      <c r="O52" s="41">
        <v>3.95E-2</v>
      </c>
      <c r="P52" s="578" t="s">
        <v>84</v>
      </c>
      <c r="Q52" s="579" t="s">
        <v>69</v>
      </c>
      <c r="R52" s="579">
        <v>74.37</v>
      </c>
      <c r="S52" s="580">
        <v>1.4874000000000001</v>
      </c>
      <c r="T52" s="579">
        <v>122.29232500000001</v>
      </c>
      <c r="U52" s="579"/>
      <c r="V52" s="581">
        <v>66</v>
      </c>
      <c r="W52" s="582" t="s">
        <v>381</v>
      </c>
    </row>
    <row r="53" spans="2:23" ht="22" customHeight="1" x14ac:dyDescent="0.25">
      <c r="B53" s="411">
        <f t="shared" si="35"/>
        <v>7</v>
      </c>
      <c r="C53" s="58">
        <f t="shared" si="30"/>
        <v>0.14428543440474673</v>
      </c>
      <c r="D53" s="58">
        <f t="shared" si="31"/>
        <v>3.6648500338805663</v>
      </c>
      <c r="E53" s="58"/>
      <c r="F53" s="57">
        <f t="shared" si="32"/>
        <v>10.54878151415085</v>
      </c>
      <c r="G53" s="58">
        <f t="shared" si="33"/>
        <v>0.49819665690266862</v>
      </c>
      <c r="H53" s="421">
        <f t="shared" si="34"/>
        <v>1.6345035198325513</v>
      </c>
      <c r="J53" s="583" t="s">
        <v>102</v>
      </c>
      <c r="K53" s="21">
        <v>100</v>
      </c>
      <c r="L53" s="7">
        <v>8</v>
      </c>
      <c r="M53" s="7" t="s">
        <v>40</v>
      </c>
      <c r="N53" s="29">
        <v>4.975E-4</v>
      </c>
      <c r="O53" s="48">
        <v>9.9500000000000005E-2</v>
      </c>
      <c r="P53" s="584" t="s">
        <v>84</v>
      </c>
      <c r="Q53" s="585" t="s">
        <v>379</v>
      </c>
      <c r="R53" s="585">
        <v>181.85</v>
      </c>
      <c r="S53" s="586">
        <v>1.8185</v>
      </c>
      <c r="T53" s="585">
        <v>213.12232499999999</v>
      </c>
      <c r="U53" s="585"/>
      <c r="V53" s="587">
        <v>53</v>
      </c>
      <c r="W53" s="588" t="s">
        <v>381</v>
      </c>
    </row>
    <row r="54" spans="2:23" ht="22" customHeight="1" x14ac:dyDescent="0.25">
      <c r="B54" s="411">
        <f t="shared" si="35"/>
        <v>8</v>
      </c>
      <c r="C54" s="58">
        <f t="shared" si="30"/>
        <v>0.12848988999541863</v>
      </c>
      <c r="D54" s="58">
        <f t="shared" si="31"/>
        <v>3.2636432058836329</v>
      </c>
      <c r="E54" s="58">
        <v>4.2</v>
      </c>
      <c r="F54" s="55">
        <f t="shared" si="32"/>
        <v>8.3655640611733357</v>
      </c>
      <c r="G54" s="58">
        <f t="shared" si="33"/>
        <v>0.62821438534409091</v>
      </c>
      <c r="H54" s="421">
        <f t="shared" si="34"/>
        <v>2.0610708840123073</v>
      </c>
      <c r="J54" s="583" t="s">
        <v>241</v>
      </c>
      <c r="K54" s="7">
        <v>12.5</v>
      </c>
      <c r="L54" s="7">
        <v>10</v>
      </c>
      <c r="M54" s="7" t="s">
        <v>40</v>
      </c>
      <c r="N54" s="29">
        <v>1.04681E-3</v>
      </c>
      <c r="O54" s="48">
        <v>2.6170249999999999E-2</v>
      </c>
      <c r="P54" s="584" t="s">
        <v>378</v>
      </c>
      <c r="Q54" s="585" t="s">
        <v>379</v>
      </c>
      <c r="R54" s="585">
        <v>13.368750000000002</v>
      </c>
      <c r="S54" s="586">
        <v>1.0695000000000001</v>
      </c>
      <c r="T54" s="585">
        <v>15.683750000000002</v>
      </c>
      <c r="U54" s="585"/>
      <c r="V54" s="587">
        <v>26</v>
      </c>
      <c r="W54" s="588" t="s">
        <v>380</v>
      </c>
    </row>
    <row r="55" spans="2:23" ht="22" customHeight="1" x14ac:dyDescent="0.25">
      <c r="B55" s="411">
        <f t="shared" si="35"/>
        <v>9</v>
      </c>
      <c r="C55" s="58">
        <f t="shared" si="30"/>
        <v>0.11442355147729072</v>
      </c>
      <c r="D55" s="58">
        <f t="shared" si="31"/>
        <v>2.906358207523184</v>
      </c>
      <c r="E55" s="58"/>
      <c r="F55" s="55">
        <f t="shared" si="32"/>
        <v>6.6341939083405519</v>
      </c>
      <c r="G55" s="58">
        <f t="shared" si="33"/>
        <v>0.79216371383711615</v>
      </c>
      <c r="H55" s="421">
        <f t="shared" si="34"/>
        <v>2.5989623989053641</v>
      </c>
      <c r="J55" s="583" t="s">
        <v>126</v>
      </c>
      <c r="K55" s="7">
        <v>25</v>
      </c>
      <c r="L55" s="7">
        <v>10</v>
      </c>
      <c r="M55" s="7" t="s">
        <v>40</v>
      </c>
      <c r="N55" s="29">
        <v>1.04681E-3</v>
      </c>
      <c r="O55" s="48">
        <v>5.2340499999999998E-2</v>
      </c>
      <c r="P55" s="584" t="s">
        <v>378</v>
      </c>
      <c r="Q55" s="585" t="s">
        <v>379</v>
      </c>
      <c r="R55" s="585">
        <v>26.737500000000004</v>
      </c>
      <c r="S55" s="586">
        <v>1.0695000000000001</v>
      </c>
      <c r="T55" s="585">
        <v>29.052500000000006</v>
      </c>
      <c r="U55" s="585"/>
      <c r="V55" s="587">
        <v>26</v>
      </c>
      <c r="W55" s="588" t="s">
        <v>380</v>
      </c>
    </row>
    <row r="56" spans="2:23" ht="22" customHeight="1" x14ac:dyDescent="0.25">
      <c r="B56" s="411">
        <f t="shared" si="35"/>
        <v>10</v>
      </c>
      <c r="C56" s="58">
        <f t="shared" si="30"/>
        <v>0.10189711527609703</v>
      </c>
      <c r="D56" s="58">
        <f t="shared" si="31"/>
        <v>2.5881867280128645</v>
      </c>
      <c r="E56" s="58">
        <v>2.2000000000000002</v>
      </c>
      <c r="F56" s="589">
        <f t="shared" si="32"/>
        <v>5.2611549551973411</v>
      </c>
      <c r="G56" s="590">
        <v>0.99890000000000001</v>
      </c>
      <c r="H56" s="421">
        <f t="shared" si="34"/>
        <v>3.2772310760000001</v>
      </c>
      <c r="J56" s="583" t="s">
        <v>243</v>
      </c>
      <c r="K56" s="7">
        <v>50</v>
      </c>
      <c r="L56" s="7">
        <v>10</v>
      </c>
      <c r="M56" s="7" t="s">
        <v>40</v>
      </c>
      <c r="N56" s="29">
        <v>1.04681E-3</v>
      </c>
      <c r="O56" s="48">
        <v>0.104681</v>
      </c>
      <c r="P56" s="584" t="s">
        <v>378</v>
      </c>
      <c r="Q56" s="585" t="s">
        <v>379</v>
      </c>
      <c r="R56" s="585">
        <v>53.475000000000009</v>
      </c>
      <c r="S56" s="586">
        <v>1.0695000000000001</v>
      </c>
      <c r="T56" s="585">
        <v>55.790000000000006</v>
      </c>
      <c r="U56" s="585"/>
      <c r="V56" s="587">
        <v>26</v>
      </c>
      <c r="W56" s="588" t="s">
        <v>389</v>
      </c>
    </row>
    <row r="57" spans="2:23" ht="22" customHeight="1" x14ac:dyDescent="0.25">
      <c r="B57" s="411">
        <f t="shared" si="35"/>
        <v>11</v>
      </c>
      <c r="C57" s="110">
        <f t="shared" si="30"/>
        <v>9.074200169054264E-2</v>
      </c>
      <c r="D57" s="58">
        <f t="shared" si="31"/>
        <v>2.3048468429397828</v>
      </c>
      <c r="E57" s="58"/>
      <c r="F57" s="55">
        <f t="shared" si="32"/>
        <v>4.1722855625004209</v>
      </c>
      <c r="G57" s="55">
        <f t="shared" ref="G57:G86" si="36">tencu1k/F57*tencross</f>
        <v>1.2595896436190048</v>
      </c>
      <c r="H57" s="421">
        <f t="shared" si="34"/>
        <v>4.1325120863709754</v>
      </c>
      <c r="J57" s="583" t="s">
        <v>103</v>
      </c>
      <c r="K57" s="7">
        <v>100</v>
      </c>
      <c r="L57" s="7">
        <v>10</v>
      </c>
      <c r="M57" s="7" t="s">
        <v>40</v>
      </c>
      <c r="N57" s="29">
        <v>1.04681E-3</v>
      </c>
      <c r="O57" s="48">
        <v>0.20936199999999999</v>
      </c>
      <c r="P57" s="584" t="s">
        <v>378</v>
      </c>
      <c r="Q57" s="585" t="s">
        <v>379</v>
      </c>
      <c r="R57" s="585">
        <v>106.95000000000002</v>
      </c>
      <c r="S57" s="586">
        <v>1.0695000000000001</v>
      </c>
      <c r="T57" s="585">
        <v>109.26500000000001</v>
      </c>
      <c r="U57" s="585"/>
      <c r="V57" s="587">
        <v>26</v>
      </c>
      <c r="W57" s="588" t="s">
        <v>389</v>
      </c>
    </row>
    <row r="58" spans="2:23" ht="22" customHeight="1" x14ac:dyDescent="0.25">
      <c r="B58" s="411">
        <f t="shared" si="35"/>
        <v>12</v>
      </c>
      <c r="C58" s="110">
        <f t="shared" si="30"/>
        <v>8.0808086161179057E-2</v>
      </c>
      <c r="D58" s="58">
        <f t="shared" si="31"/>
        <v>2.0525253884939478</v>
      </c>
      <c r="E58" s="58"/>
      <c r="F58" s="55">
        <f t="shared" si="32"/>
        <v>3.3087728765435132</v>
      </c>
      <c r="G58" s="55">
        <f t="shared" si="36"/>
        <v>1.5883132148485839</v>
      </c>
      <c r="H58" s="421">
        <f t="shared" si="34"/>
        <v>5.2110015278038277</v>
      </c>
      <c r="J58" s="583" t="s">
        <v>242</v>
      </c>
      <c r="K58" s="7">
        <v>16.420000000000002</v>
      </c>
      <c r="L58" s="7">
        <v>10</v>
      </c>
      <c r="M58" s="7" t="s">
        <v>40</v>
      </c>
      <c r="N58" s="29">
        <v>1.7185185185185185E-3</v>
      </c>
      <c r="O58" s="48">
        <v>5.6436148148148152E-2</v>
      </c>
      <c r="P58" s="584" t="s">
        <v>79</v>
      </c>
      <c r="Q58" s="585" t="s">
        <v>79</v>
      </c>
      <c r="R58" s="585">
        <v>21.017600000000002</v>
      </c>
      <c r="S58" s="586">
        <v>1.28</v>
      </c>
      <c r="T58" s="585">
        <v>23.332600000000003</v>
      </c>
      <c r="U58" s="585"/>
      <c r="V58" s="587">
        <v>26</v>
      </c>
      <c r="W58" s="588" t="s">
        <v>380</v>
      </c>
    </row>
    <row r="59" spans="2:23" ht="22" customHeight="1" x14ac:dyDescent="0.25">
      <c r="B59" s="411">
        <f t="shared" si="35"/>
        <v>13</v>
      </c>
      <c r="C59" s="110">
        <f t="shared" si="30"/>
        <v>7.1961678906991816E-2</v>
      </c>
      <c r="D59" s="58">
        <f t="shared" si="31"/>
        <v>1.8278266442375921</v>
      </c>
      <c r="E59" s="58"/>
      <c r="F59" s="55">
        <f t="shared" si="32"/>
        <v>2.6239761839285487</v>
      </c>
      <c r="G59" s="55">
        <f t="shared" si="36"/>
        <v>2.0028259848297956</v>
      </c>
      <c r="H59" s="421">
        <f t="shared" si="34"/>
        <v>6.5709516040689868</v>
      </c>
      <c r="J59" s="583" t="s">
        <v>246</v>
      </c>
      <c r="K59" s="7">
        <v>100</v>
      </c>
      <c r="L59" s="7">
        <v>12</v>
      </c>
      <c r="M59" s="7" t="s">
        <v>40</v>
      </c>
      <c r="N59" s="29">
        <v>2.0820000000000001E-3</v>
      </c>
      <c r="O59" s="48">
        <v>0.41639999999999999</v>
      </c>
      <c r="P59" s="584" t="s">
        <v>84</v>
      </c>
      <c r="Q59" s="585" t="s">
        <v>81</v>
      </c>
      <c r="R59" s="585">
        <v>87</v>
      </c>
      <c r="S59" s="586">
        <v>0.87</v>
      </c>
      <c r="T59" s="585">
        <v>87</v>
      </c>
      <c r="U59" s="585"/>
      <c r="V59" s="587">
        <v>17</v>
      </c>
      <c r="W59" s="588" t="s">
        <v>398</v>
      </c>
    </row>
    <row r="60" spans="2:23" ht="22" customHeight="1" x14ac:dyDescent="0.25">
      <c r="B60" s="411">
        <f t="shared" si="35"/>
        <v>14</v>
      </c>
      <c r="C60" s="110">
        <f t="shared" si="30"/>
        <v>6.4083725739823044E-2</v>
      </c>
      <c r="D60" s="58">
        <f t="shared" si="31"/>
        <v>1.6277266337915051</v>
      </c>
      <c r="E60" s="58"/>
      <c r="F60" s="55">
        <f t="shared" si="32"/>
        <v>2.0809077173700872</v>
      </c>
      <c r="G60" s="55">
        <f t="shared" si="36"/>
        <v>2.5255169370934496</v>
      </c>
      <c r="H60" s="421">
        <f t="shared" si="34"/>
        <v>8.2858169878936732</v>
      </c>
      <c r="J60" s="583" t="s">
        <v>244</v>
      </c>
      <c r="K60" s="7">
        <v>25</v>
      </c>
      <c r="L60" s="7">
        <v>10</v>
      </c>
      <c r="M60" s="7" t="s">
        <v>45</v>
      </c>
      <c r="N60" s="29">
        <v>2.7014999999999999E-3</v>
      </c>
      <c r="O60" s="48">
        <v>0.135075</v>
      </c>
      <c r="P60" s="584" t="s">
        <v>84</v>
      </c>
      <c r="Q60" s="585" t="s">
        <v>76</v>
      </c>
      <c r="R60" s="585">
        <v>6.7424999999999997</v>
      </c>
      <c r="S60" s="586">
        <v>0.2697</v>
      </c>
      <c r="T60" s="585">
        <v>9.0574999999999992</v>
      </c>
      <c r="U60" s="585"/>
      <c r="V60" s="587">
        <v>17</v>
      </c>
      <c r="W60" s="588" t="s">
        <v>380</v>
      </c>
    </row>
    <row r="61" spans="2:23" ht="22" customHeight="1" x14ac:dyDescent="0.25">
      <c r="B61" s="411">
        <f t="shared" si="35"/>
        <v>15</v>
      </c>
      <c r="C61" s="110">
        <f t="shared" si="30"/>
        <v>5.706820584334435E-2</v>
      </c>
      <c r="D61" s="58">
        <f t="shared" si="31"/>
        <v>1.4495324284209463</v>
      </c>
      <c r="E61" s="58"/>
      <c r="F61" s="55">
        <f t="shared" si="32"/>
        <v>1.6502348438724639</v>
      </c>
      <c r="G61" s="55">
        <f t="shared" si="36"/>
        <v>3.1846180586117705</v>
      </c>
      <c r="H61" s="591">
        <f t="shared" si="34"/>
        <v>10.448222311415842</v>
      </c>
      <c r="J61" s="583" t="s">
        <v>245</v>
      </c>
      <c r="K61" s="7">
        <v>50</v>
      </c>
      <c r="L61" s="7">
        <v>10</v>
      </c>
      <c r="M61" s="7" t="s">
        <v>45</v>
      </c>
      <c r="N61" s="29">
        <v>2.7014999999999999E-3</v>
      </c>
      <c r="O61" s="48">
        <v>0.27015</v>
      </c>
      <c r="P61" s="584" t="s">
        <v>84</v>
      </c>
      <c r="Q61" s="585" t="s">
        <v>76</v>
      </c>
      <c r="R61" s="585">
        <v>13.484999999999999</v>
      </c>
      <c r="S61" s="586">
        <v>0.2697</v>
      </c>
      <c r="T61" s="585">
        <v>15.799999999999999</v>
      </c>
      <c r="U61" s="585"/>
      <c r="V61" s="587">
        <v>17</v>
      </c>
      <c r="W61" s="588" t="s">
        <v>380</v>
      </c>
    </row>
    <row r="62" spans="2:23" ht="22" customHeight="1" thickBot="1" x14ac:dyDescent="0.3">
      <c r="B62" s="411">
        <f t="shared" si="35"/>
        <v>16</v>
      </c>
      <c r="C62" s="110">
        <f t="shared" si="30"/>
        <v>5.0820704954026838E-2</v>
      </c>
      <c r="D62" s="58">
        <f t="shared" si="31"/>
        <v>1.2908459058322816</v>
      </c>
      <c r="E62" s="58"/>
      <c r="F62" s="55">
        <f t="shared" si="32"/>
        <v>1.3086957279261433</v>
      </c>
      <c r="G62" s="55">
        <f t="shared" si="36"/>
        <v>4.0157292276598708</v>
      </c>
      <c r="H62" s="591">
        <f t="shared" si="34"/>
        <v>13.17496507927561</v>
      </c>
      <c r="J62" s="592" t="s">
        <v>105</v>
      </c>
      <c r="K62" s="34">
        <v>100</v>
      </c>
      <c r="L62" s="34">
        <v>10</v>
      </c>
      <c r="M62" s="34" t="s">
        <v>45</v>
      </c>
      <c r="N62" s="79">
        <v>2.7014999999999999E-3</v>
      </c>
      <c r="O62" s="121">
        <v>0.5403</v>
      </c>
      <c r="P62" s="593" t="s">
        <v>84</v>
      </c>
      <c r="Q62" s="594" t="s">
        <v>76</v>
      </c>
      <c r="R62" s="594">
        <v>26.97</v>
      </c>
      <c r="S62" s="595">
        <v>0.2697</v>
      </c>
      <c r="T62" s="594">
        <v>50.157325</v>
      </c>
      <c r="U62" s="594"/>
      <c r="V62" s="596">
        <v>17</v>
      </c>
      <c r="W62" s="597" t="s">
        <v>381</v>
      </c>
    </row>
    <row r="63" spans="2:23" ht="22" customHeight="1" x14ac:dyDescent="0.25">
      <c r="B63" s="411">
        <f t="shared" si="35"/>
        <v>17</v>
      </c>
      <c r="C63" s="110">
        <f t="shared" si="30"/>
        <v>4.5257144742100977E-2</v>
      </c>
      <c r="D63" s="58">
        <f t="shared" si="31"/>
        <v>1.1495314764493647</v>
      </c>
      <c r="E63" s="58"/>
      <c r="F63" s="55">
        <f t="shared" si="32"/>
        <v>1.0378428953015733</v>
      </c>
      <c r="G63" s="55">
        <f t="shared" si="36"/>
        <v>5.0637410619066143</v>
      </c>
      <c r="H63" s="591">
        <f t="shared" si="34"/>
        <v>16.613324225545696</v>
      </c>
      <c r="P63" s="575"/>
    </row>
    <row r="64" spans="2:23" ht="22" customHeight="1" x14ac:dyDescent="0.25">
      <c r="B64" s="411">
        <f t="shared" si="35"/>
        <v>18</v>
      </c>
      <c r="C64" s="110">
        <f t="shared" si="30"/>
        <v>4.0302651292624107E-2</v>
      </c>
      <c r="D64" s="58">
        <f t="shared" si="31"/>
        <v>1.0236873428326523</v>
      </c>
      <c r="E64" s="58"/>
      <c r="F64" s="58">
        <f t="shared" si="32"/>
        <v>0.82304683383878219</v>
      </c>
      <c r="G64" s="55">
        <f t="shared" si="36"/>
        <v>6.3852595850894698</v>
      </c>
      <c r="H64" s="591">
        <f t="shared" si="34"/>
        <v>20.949015057144937</v>
      </c>
      <c r="J64" s="1"/>
      <c r="P64" s="575"/>
    </row>
    <row r="65" spans="2:23" ht="22" customHeight="1" x14ac:dyDescent="0.25">
      <c r="B65" s="411">
        <f t="shared" si="35"/>
        <v>19</v>
      </c>
      <c r="C65" s="110">
        <f t="shared" si="30"/>
        <v>3.5890547458771259E-2</v>
      </c>
      <c r="D65" s="110">
        <f t="shared" si="31"/>
        <v>0.91161990545278992</v>
      </c>
      <c r="E65" s="110"/>
      <c r="F65" s="58">
        <f t="shared" si="32"/>
        <v>0.65270581294985397</v>
      </c>
      <c r="G65" s="55">
        <f t="shared" si="36"/>
        <v>8.0516636752404462</v>
      </c>
      <c r="H65" s="591">
        <f t="shared" si="34"/>
        <v>26.416220252275867</v>
      </c>
      <c r="J65" s="1" t="s">
        <v>401</v>
      </c>
      <c r="P65" s="575"/>
    </row>
    <row r="66" spans="2:23" ht="22" customHeight="1" x14ac:dyDescent="0.25">
      <c r="B66" s="411">
        <f t="shared" si="35"/>
        <v>20</v>
      </c>
      <c r="C66" s="110">
        <f t="shared" si="30"/>
        <v>3.196145552652653E-2</v>
      </c>
      <c r="D66" s="110">
        <f t="shared" si="31"/>
        <v>0.81182097037377388</v>
      </c>
      <c r="E66" s="110"/>
      <c r="F66" s="58">
        <f t="shared" si="32"/>
        <v>0.51761924199562559</v>
      </c>
      <c r="G66" s="57">
        <f t="shared" si="36"/>
        <v>10.152960435715482</v>
      </c>
      <c r="H66" s="591">
        <f t="shared" si="34"/>
        <v>33.310238715912782</v>
      </c>
      <c r="J66" s="1"/>
      <c r="P66" s="575"/>
    </row>
    <row r="67" spans="2:23" ht="22" customHeight="1" thickBot="1" x14ac:dyDescent="0.3">
      <c r="B67" s="411">
        <f t="shared" si="35"/>
        <v>21</v>
      </c>
      <c r="C67" s="110">
        <f t="shared" si="30"/>
        <v>2.8462498114513474E-2</v>
      </c>
      <c r="D67" s="110">
        <f t="shared" si="31"/>
        <v>0.7229474521086422</v>
      </c>
      <c r="E67" s="110"/>
      <c r="F67" s="58">
        <f t="shared" si="32"/>
        <v>0.41049072088578198</v>
      </c>
      <c r="G67" s="57">
        <f t="shared" si="36"/>
        <v>12.80264672830185</v>
      </c>
      <c r="H67" s="591">
        <f t="shared" si="34"/>
        <v>42.003435492081842</v>
      </c>
      <c r="J67" s="89" t="s">
        <v>368</v>
      </c>
      <c r="K67" s="89" t="s">
        <v>64</v>
      </c>
      <c r="L67" s="89" t="s">
        <v>192</v>
      </c>
      <c r="M67" s="89" t="s">
        <v>369</v>
      </c>
      <c r="N67" s="89" t="s">
        <v>31</v>
      </c>
      <c r="O67" s="89" t="s">
        <v>370</v>
      </c>
      <c r="P67" s="576" t="s">
        <v>371</v>
      </c>
      <c r="Q67" s="89" t="s">
        <v>67</v>
      </c>
      <c r="R67" s="89" t="s">
        <v>372</v>
      </c>
      <c r="S67" s="89" t="s">
        <v>373</v>
      </c>
      <c r="T67" s="89" t="s">
        <v>374</v>
      </c>
      <c r="U67" s="89" t="s">
        <v>375</v>
      </c>
      <c r="V67" s="89" t="s">
        <v>376</v>
      </c>
      <c r="W67" s="89" t="s">
        <v>377</v>
      </c>
    </row>
    <row r="68" spans="2:23" ht="22" customHeight="1" x14ac:dyDescent="0.25">
      <c r="B68" s="411">
        <f t="shared" si="35"/>
        <v>22</v>
      </c>
      <c r="C68" s="110">
        <f t="shared" si="30"/>
        <v>2.5346586554743287E-2</v>
      </c>
      <c r="D68" s="110">
        <f t="shared" si="31"/>
        <v>0.64380329849047946</v>
      </c>
      <c r="E68" s="110"/>
      <c r="F68" s="58">
        <f t="shared" si="32"/>
        <v>0.32553394128797275</v>
      </c>
      <c r="G68" s="57">
        <f t="shared" si="36"/>
        <v>16.14383945328035</v>
      </c>
      <c r="H68" s="591">
        <f t="shared" si="34"/>
        <v>52.965354231900307</v>
      </c>
      <c r="J68" s="577" t="s">
        <v>244</v>
      </c>
      <c r="K68" s="37">
        <v>25</v>
      </c>
      <c r="L68" s="37">
        <v>10</v>
      </c>
      <c r="M68" s="37" t="s">
        <v>45</v>
      </c>
      <c r="N68" s="39">
        <v>2.7014999999999999E-3</v>
      </c>
      <c r="O68" s="41">
        <v>0.135075</v>
      </c>
      <c r="P68" s="598" t="s">
        <v>84</v>
      </c>
      <c r="Q68" s="579" t="s">
        <v>76</v>
      </c>
      <c r="R68" s="579">
        <v>6.7424999999999997</v>
      </c>
      <c r="S68" s="580">
        <v>0.2697</v>
      </c>
      <c r="T68" s="579">
        <v>9.0574999999999992</v>
      </c>
      <c r="U68" s="579"/>
      <c r="V68" s="581">
        <v>17</v>
      </c>
      <c r="W68" s="582" t="s">
        <v>380</v>
      </c>
    </row>
    <row r="69" spans="2:23" ht="22" customHeight="1" x14ac:dyDescent="0.25">
      <c r="B69" s="411">
        <f t="shared" si="35"/>
        <v>23</v>
      </c>
      <c r="C69" s="110">
        <f t="shared" si="30"/>
        <v>2.2571787177370007E-2</v>
      </c>
      <c r="D69" s="110">
        <f t="shared" si="31"/>
        <v>0.57332339430519819</v>
      </c>
      <c r="E69" s="110"/>
      <c r="F69" s="58">
        <f t="shared" si="32"/>
        <v>0.25816015207799997</v>
      </c>
      <c r="G69" s="57">
        <f t="shared" si="36"/>
        <v>20.357005689858667</v>
      </c>
      <c r="H69" s="591">
        <f t="shared" si="34"/>
        <v>66.788078547515909</v>
      </c>
      <c r="J69" s="583" t="s">
        <v>241</v>
      </c>
      <c r="K69" s="7">
        <v>12.5</v>
      </c>
      <c r="L69" s="7">
        <v>10</v>
      </c>
      <c r="M69" s="7" t="s">
        <v>40</v>
      </c>
      <c r="N69" s="29">
        <v>1.04681E-3</v>
      </c>
      <c r="O69" s="48">
        <v>2.6170249999999999E-2</v>
      </c>
      <c r="P69" s="599" t="s">
        <v>378</v>
      </c>
      <c r="Q69" s="585" t="s">
        <v>379</v>
      </c>
      <c r="R69" s="585">
        <v>13.368750000000002</v>
      </c>
      <c r="S69" s="586">
        <v>1.0695000000000001</v>
      </c>
      <c r="T69" s="585">
        <v>15.683750000000002</v>
      </c>
      <c r="U69" s="585"/>
      <c r="V69" s="587">
        <v>26</v>
      </c>
      <c r="W69" s="588" t="s">
        <v>380</v>
      </c>
    </row>
    <row r="70" spans="2:23" ht="22" customHeight="1" x14ac:dyDescent="0.25">
      <c r="B70" s="411">
        <f t="shared" si="35"/>
        <v>24</v>
      </c>
      <c r="C70" s="110">
        <f t="shared" si="30"/>
        <v>2.0100756970967418E-2</v>
      </c>
      <c r="D70" s="110">
        <f t="shared" si="31"/>
        <v>0.5105592270625724</v>
      </c>
      <c r="E70" s="110"/>
      <c r="F70" s="58">
        <f t="shared" si="32"/>
        <v>0.20473030817385435</v>
      </c>
      <c r="G70" s="57">
        <f t="shared" si="36"/>
        <v>25.669710223284735</v>
      </c>
      <c r="H70" s="591">
        <f t="shared" si="34"/>
        <v>84.218212088961494</v>
      </c>
      <c r="J70" s="583" t="s">
        <v>245</v>
      </c>
      <c r="K70" s="7">
        <v>50</v>
      </c>
      <c r="L70" s="7">
        <v>10</v>
      </c>
      <c r="M70" s="7" t="s">
        <v>45</v>
      </c>
      <c r="N70" s="29">
        <v>2.7014999999999999E-3</v>
      </c>
      <c r="O70" s="48">
        <v>0.27015</v>
      </c>
      <c r="P70" s="599" t="s">
        <v>84</v>
      </c>
      <c r="Q70" s="585" t="s">
        <v>76</v>
      </c>
      <c r="R70" s="585">
        <v>13.484999999999999</v>
      </c>
      <c r="S70" s="586">
        <v>0.2697</v>
      </c>
      <c r="T70" s="585">
        <v>15.799999999999999</v>
      </c>
      <c r="U70" s="585"/>
      <c r="V70" s="587">
        <v>17</v>
      </c>
      <c r="W70" s="588" t="s">
        <v>380</v>
      </c>
    </row>
    <row r="71" spans="2:23" ht="22" customHeight="1" x14ac:dyDescent="0.25">
      <c r="B71" s="411">
        <f t="shared" si="35"/>
        <v>25</v>
      </c>
      <c r="C71" s="110">
        <f t="shared" si="30"/>
        <v>1.7900241023492261E-2</v>
      </c>
      <c r="D71" s="110">
        <f t="shared" si="31"/>
        <v>0.45466612199670337</v>
      </c>
      <c r="E71" s="110"/>
      <c r="F71" s="58">
        <f t="shared" si="32"/>
        <v>0.1623585156252054</v>
      </c>
      <c r="G71" s="57">
        <f t="shared" si="36"/>
        <v>32.368906949594908</v>
      </c>
      <c r="H71" s="591">
        <f t="shared" si="34"/>
        <v>106.19720467650896</v>
      </c>
      <c r="J71" s="583" t="s">
        <v>242</v>
      </c>
      <c r="K71" s="21">
        <v>16.420000000000002</v>
      </c>
      <c r="L71" s="7">
        <v>10</v>
      </c>
      <c r="M71" s="7" t="s">
        <v>40</v>
      </c>
      <c r="N71" s="29">
        <v>1.7185185185185185E-3</v>
      </c>
      <c r="O71" s="48">
        <v>5.6436148148148152E-2</v>
      </c>
      <c r="P71" s="599" t="s">
        <v>79</v>
      </c>
      <c r="Q71" s="585" t="s">
        <v>79</v>
      </c>
      <c r="R71" s="585">
        <v>21.017600000000002</v>
      </c>
      <c r="S71" s="586">
        <v>1.28</v>
      </c>
      <c r="T71" s="585">
        <v>23.332600000000003</v>
      </c>
      <c r="U71" s="585"/>
      <c r="V71" s="587">
        <v>26</v>
      </c>
      <c r="W71" s="588" t="s">
        <v>380</v>
      </c>
    </row>
    <row r="72" spans="2:23" ht="22" customHeight="1" x14ac:dyDescent="0.25">
      <c r="B72" s="411">
        <f t="shared" si="35"/>
        <v>26</v>
      </c>
      <c r="C72" s="110">
        <f t="shared" si="30"/>
        <v>1.5940624980537436E-2</v>
      </c>
      <c r="D72" s="110">
        <f t="shared" si="31"/>
        <v>0.40489187450565089</v>
      </c>
      <c r="E72" s="110"/>
      <c r="F72" s="58">
        <f t="shared" si="32"/>
        <v>0.12875615648287531</v>
      </c>
      <c r="G72" s="57">
        <f t="shared" si="36"/>
        <v>40.816438050832879</v>
      </c>
      <c r="H72" s="591">
        <f t="shared" si="34"/>
        <v>133.91220261469454</v>
      </c>
      <c r="J72" s="583" t="s">
        <v>126</v>
      </c>
      <c r="K72" s="7">
        <v>25</v>
      </c>
      <c r="L72" s="7">
        <v>10</v>
      </c>
      <c r="M72" s="7" t="s">
        <v>40</v>
      </c>
      <c r="N72" s="29">
        <v>1.04681E-3</v>
      </c>
      <c r="O72" s="48">
        <v>5.2340499999999998E-2</v>
      </c>
      <c r="P72" s="599" t="s">
        <v>378</v>
      </c>
      <c r="Q72" s="585" t="s">
        <v>379</v>
      </c>
      <c r="R72" s="585">
        <v>26.737500000000004</v>
      </c>
      <c r="S72" s="586">
        <v>1.0695000000000001</v>
      </c>
      <c r="T72" s="585">
        <v>29.052500000000006</v>
      </c>
      <c r="U72" s="585"/>
      <c r="V72" s="587">
        <v>26</v>
      </c>
      <c r="W72" s="588" t="s">
        <v>380</v>
      </c>
    </row>
    <row r="73" spans="2:23" ht="22" customHeight="1" x14ac:dyDescent="0.25">
      <c r="B73" s="411">
        <f t="shared" si="35"/>
        <v>27</v>
      </c>
      <c r="C73" s="110">
        <f t="shared" si="30"/>
        <v>1.4195536497896814E-2</v>
      </c>
      <c r="D73" s="110">
        <f t="shared" si="31"/>
        <v>0.36056662704657905</v>
      </c>
      <c r="E73" s="110"/>
      <c r="F73" s="58">
        <f t="shared" si="32"/>
        <v>0.10210827420048792</v>
      </c>
      <c r="G73" s="57">
        <f t="shared" si="36"/>
        <v>51.468578094149315</v>
      </c>
      <c r="H73" s="591">
        <f t="shared" si="34"/>
        <v>168.86016975440884</v>
      </c>
      <c r="J73" s="583" t="s">
        <v>105</v>
      </c>
      <c r="K73" s="7">
        <v>100</v>
      </c>
      <c r="L73" s="7">
        <v>10</v>
      </c>
      <c r="M73" s="7" t="s">
        <v>45</v>
      </c>
      <c r="N73" s="29">
        <v>2.7014999999999999E-3</v>
      </c>
      <c r="O73" s="48">
        <v>0.5403</v>
      </c>
      <c r="P73" s="599" t="s">
        <v>84</v>
      </c>
      <c r="Q73" s="585" t="s">
        <v>76</v>
      </c>
      <c r="R73" s="585">
        <v>26.97</v>
      </c>
      <c r="S73" s="586">
        <v>0.2697</v>
      </c>
      <c r="T73" s="585">
        <v>50.157325</v>
      </c>
      <c r="U73" s="585"/>
      <c r="V73" s="587">
        <v>17</v>
      </c>
      <c r="W73" s="588" t="s">
        <v>381</v>
      </c>
    </row>
    <row r="74" spans="2:23" ht="22" customHeight="1" x14ac:dyDescent="0.25">
      <c r="B74" s="411">
        <f t="shared" si="35"/>
        <v>28</v>
      </c>
      <c r="C74" s="110">
        <f t="shared" si="30"/>
        <v>1.2641490324824547E-2</v>
      </c>
      <c r="D74" s="110">
        <f t="shared" si="31"/>
        <v>0.32109385425054349</v>
      </c>
      <c r="E74" s="110"/>
      <c r="F74" s="58">
        <f t="shared" si="32"/>
        <v>8.0975542801238434E-2</v>
      </c>
      <c r="G74" s="57">
        <f t="shared" si="36"/>
        <v>64.900678685740758</v>
      </c>
      <c r="H74" s="591">
        <f t="shared" si="34"/>
        <v>212.92874265932571</v>
      </c>
      <c r="J74" s="583" t="s">
        <v>243</v>
      </c>
      <c r="K74" s="7">
        <v>50</v>
      </c>
      <c r="L74" s="7">
        <v>10</v>
      </c>
      <c r="M74" s="7" t="s">
        <v>40</v>
      </c>
      <c r="N74" s="29">
        <v>1.04681E-3</v>
      </c>
      <c r="O74" s="48">
        <v>0.104681</v>
      </c>
      <c r="P74" s="599" t="s">
        <v>378</v>
      </c>
      <c r="Q74" s="585" t="s">
        <v>379</v>
      </c>
      <c r="R74" s="585">
        <v>53.475000000000009</v>
      </c>
      <c r="S74" s="586">
        <v>1.0695000000000001</v>
      </c>
      <c r="T74" s="585">
        <v>55.790000000000006</v>
      </c>
      <c r="U74" s="585"/>
      <c r="V74" s="587">
        <v>26</v>
      </c>
      <c r="W74" s="588" t="s">
        <v>389</v>
      </c>
    </row>
    <row r="75" spans="2:23" ht="22" customHeight="1" x14ac:dyDescent="0.25">
      <c r="B75" s="411">
        <f t="shared" si="35"/>
        <v>29</v>
      </c>
      <c r="C75" s="110">
        <f t="shared" si="30"/>
        <v>1.1257572241549971E-2</v>
      </c>
      <c r="D75" s="110">
        <f t="shared" si="31"/>
        <v>0.28594233493536925</v>
      </c>
      <c r="E75" s="110"/>
      <c r="F75" s="58">
        <f t="shared" si="32"/>
        <v>6.4216524892787438E-2</v>
      </c>
      <c r="G75" s="57">
        <f t="shared" si="36"/>
        <v>81.838244805689996</v>
      </c>
      <c r="H75" s="591">
        <f t="shared" si="34"/>
        <v>268.49818708829997</v>
      </c>
      <c r="J75" s="583" t="s">
        <v>246</v>
      </c>
      <c r="K75" s="7">
        <v>100</v>
      </c>
      <c r="L75" s="7">
        <v>12</v>
      </c>
      <c r="M75" s="7" t="s">
        <v>40</v>
      </c>
      <c r="N75" s="29">
        <v>2.0820000000000001E-3</v>
      </c>
      <c r="O75" s="48">
        <v>0.41639999999999999</v>
      </c>
      <c r="P75" s="599" t="s">
        <v>84</v>
      </c>
      <c r="Q75" s="585" t="s">
        <v>81</v>
      </c>
      <c r="R75" s="585">
        <v>87</v>
      </c>
      <c r="S75" s="586">
        <v>0.87</v>
      </c>
      <c r="T75" s="585">
        <v>87</v>
      </c>
      <c r="U75" s="585"/>
      <c r="V75" s="587">
        <v>17</v>
      </c>
      <c r="W75" s="588" t="s">
        <v>398</v>
      </c>
    </row>
    <row r="76" spans="2:23" ht="22" customHeight="1" x14ac:dyDescent="0.25">
      <c r="B76" s="411">
        <f t="shared" si="35"/>
        <v>30</v>
      </c>
      <c r="C76" s="110">
        <f t="shared" si="30"/>
        <v>1.002515759750624E-2</v>
      </c>
      <c r="D76" s="110">
        <f t="shared" si="31"/>
        <v>0.25463900297665848</v>
      </c>
      <c r="E76" s="110"/>
      <c r="F76" s="58">
        <f t="shared" si="32"/>
        <v>5.0926019470201332E-2</v>
      </c>
      <c r="G76" s="57">
        <f t="shared" si="36"/>
        <v>103.19612134268084</v>
      </c>
      <c r="H76" s="591">
        <f t="shared" si="34"/>
        <v>338.56996274592103</v>
      </c>
      <c r="J76" s="583" t="s">
        <v>103</v>
      </c>
      <c r="K76" s="7">
        <v>100</v>
      </c>
      <c r="L76" s="7">
        <v>10</v>
      </c>
      <c r="M76" s="7" t="s">
        <v>40</v>
      </c>
      <c r="N76" s="29">
        <v>1.04681E-3</v>
      </c>
      <c r="O76" s="48">
        <v>0.20936199999999999</v>
      </c>
      <c r="P76" s="599" t="s">
        <v>378</v>
      </c>
      <c r="Q76" s="585" t="s">
        <v>379</v>
      </c>
      <c r="R76" s="585">
        <v>106.95000000000002</v>
      </c>
      <c r="S76" s="586">
        <v>1.0695000000000001</v>
      </c>
      <c r="T76" s="585">
        <v>109.26500000000001</v>
      </c>
      <c r="U76" s="585"/>
      <c r="V76" s="587">
        <v>26</v>
      </c>
      <c r="W76" s="588" t="s">
        <v>389</v>
      </c>
    </row>
    <row r="77" spans="2:23" ht="22" customHeight="1" x14ac:dyDescent="0.25">
      <c r="B77" s="411">
        <f t="shared" si="35"/>
        <v>31</v>
      </c>
      <c r="C77" s="110">
        <f t="shared" si="30"/>
        <v>8.9276606623844759E-3</v>
      </c>
      <c r="D77" s="110">
        <f t="shared" si="31"/>
        <v>0.22676258082456566</v>
      </c>
      <c r="E77" s="110"/>
      <c r="F77" s="58">
        <f t="shared" si="32"/>
        <v>4.0386169500906968E-2</v>
      </c>
      <c r="G77" s="57">
        <f t="shared" si="36"/>
        <v>130.12790640193302</v>
      </c>
      <c r="H77" s="591">
        <f t="shared" si="34"/>
        <v>426.92884043971793</v>
      </c>
      <c r="J77" s="583" t="s">
        <v>100</v>
      </c>
      <c r="K77" s="7">
        <v>50</v>
      </c>
      <c r="L77" s="7">
        <v>6</v>
      </c>
      <c r="M77" s="7" t="s">
        <v>40</v>
      </c>
      <c r="N77" s="29">
        <v>3.9500000000000001E-4</v>
      </c>
      <c r="O77" s="48">
        <v>3.95E-2</v>
      </c>
      <c r="P77" s="599" t="s">
        <v>84</v>
      </c>
      <c r="Q77" s="585" t="s">
        <v>69</v>
      </c>
      <c r="R77" s="585">
        <v>74.37</v>
      </c>
      <c r="S77" s="586">
        <v>1.4874000000000001</v>
      </c>
      <c r="T77" s="585">
        <v>122.29232500000001</v>
      </c>
      <c r="U77" s="585"/>
      <c r="V77" s="587">
        <v>66</v>
      </c>
      <c r="W77" s="588" t="s">
        <v>381</v>
      </c>
    </row>
    <row r="78" spans="2:23" ht="22" customHeight="1" thickBot="1" x14ac:dyDescent="0.3">
      <c r="B78" s="411">
        <f t="shared" si="35"/>
        <v>32</v>
      </c>
      <c r="C78" s="110">
        <f t="shared" si="30"/>
        <v>7.950311416801404E-3</v>
      </c>
      <c r="D78" s="110">
        <f t="shared" si="31"/>
        <v>0.20193790998675565</v>
      </c>
      <c r="E78" s="110"/>
      <c r="F78" s="58">
        <f t="shared" si="32"/>
        <v>3.2027688476818222E-2</v>
      </c>
      <c r="G78" s="57">
        <f t="shared" si="36"/>
        <v>164.08826033606772</v>
      </c>
      <c r="H78" s="591">
        <f t="shared" si="34"/>
        <v>538.34732804098439</v>
      </c>
      <c r="I78" s="366"/>
      <c r="J78" s="592" t="s">
        <v>102</v>
      </c>
      <c r="K78" s="34">
        <v>100</v>
      </c>
      <c r="L78" s="34">
        <v>8</v>
      </c>
      <c r="M78" s="34" t="s">
        <v>40</v>
      </c>
      <c r="N78" s="79">
        <v>4.975E-4</v>
      </c>
      <c r="O78" s="121">
        <v>9.9500000000000005E-2</v>
      </c>
      <c r="P78" s="600" t="s">
        <v>84</v>
      </c>
      <c r="Q78" s="594" t="s">
        <v>379</v>
      </c>
      <c r="R78" s="594">
        <v>181.85</v>
      </c>
      <c r="S78" s="595">
        <v>1.8185</v>
      </c>
      <c r="T78" s="594">
        <v>213.12232499999999</v>
      </c>
      <c r="U78" s="594"/>
      <c r="V78" s="596">
        <v>53</v>
      </c>
      <c r="W78" s="597" t="s">
        <v>381</v>
      </c>
    </row>
    <row r="79" spans="2:23" ht="22" customHeight="1" x14ac:dyDescent="0.25">
      <c r="B79" s="411">
        <f t="shared" si="35"/>
        <v>33</v>
      </c>
      <c r="C79" s="110">
        <f t="shared" si="30"/>
        <v>7.0799567786485251E-3</v>
      </c>
      <c r="D79" s="110">
        <f t="shared" si="31"/>
        <v>0.17983090217767253</v>
      </c>
      <c r="E79" s="110"/>
      <c r="F79" s="58">
        <f t="shared" si="32"/>
        <v>2.5399111672254001E-2</v>
      </c>
      <c r="G79" s="57">
        <f t="shared" si="36"/>
        <v>206.91147598235059</v>
      </c>
      <c r="H79" s="591">
        <f t="shared" si="34"/>
        <v>678.84344686193515</v>
      </c>
      <c r="I79" s="366"/>
      <c r="P79" s="575"/>
    </row>
    <row r="80" spans="2:23" ht="22" customHeight="1" x14ac:dyDescent="0.25">
      <c r="B80" s="411">
        <f t="shared" si="35"/>
        <v>34</v>
      </c>
      <c r="C80" s="110">
        <f t="shared" si="30"/>
        <v>6.3048835900440716E-3</v>
      </c>
      <c r="D80" s="110">
        <f t="shared" si="31"/>
        <v>0.16014404318711942</v>
      </c>
      <c r="E80" s="110"/>
      <c r="F80" s="58">
        <f t="shared" si="32"/>
        <v>2.014241128286753E-2</v>
      </c>
      <c r="G80" s="57">
        <f t="shared" si="36"/>
        <v>260.91055390258396</v>
      </c>
      <c r="H80" s="591">
        <f t="shared" si="34"/>
        <v>856.00578166575349</v>
      </c>
      <c r="I80" s="366"/>
      <c r="J80" s="1"/>
      <c r="P80" s="575"/>
    </row>
    <row r="81" spans="2:23" ht="22" customHeight="1" x14ac:dyDescent="0.25">
      <c r="B81" s="411">
        <f t="shared" si="35"/>
        <v>35</v>
      </c>
      <c r="C81" s="110">
        <f t="shared" si="30"/>
        <v>5.6146609826614076E-3</v>
      </c>
      <c r="D81" s="110">
        <f t="shared" si="31"/>
        <v>0.14261238895959974</v>
      </c>
      <c r="E81" s="110"/>
      <c r="F81" s="58">
        <f t="shared" si="32"/>
        <v>1.5973658351657791E-2</v>
      </c>
      <c r="G81" s="57">
        <f t="shared" si="36"/>
        <v>329.00213395394218</v>
      </c>
      <c r="H81" s="591">
        <f t="shared" si="34"/>
        <v>1079.4033611614516</v>
      </c>
      <c r="I81" s="366"/>
      <c r="J81" s="17" t="s">
        <v>402</v>
      </c>
      <c r="K81" s="1"/>
      <c r="L81" s="1"/>
      <c r="M81" s="1" t="s">
        <v>403</v>
      </c>
      <c r="P81" s="17"/>
    </row>
    <row r="82" spans="2:23" ht="22" customHeight="1" x14ac:dyDescent="0.25">
      <c r="B82" s="411">
        <f t="shared" si="35"/>
        <v>36</v>
      </c>
      <c r="C82" s="110">
        <f t="shared" si="30"/>
        <v>5.0000000000000001E-3</v>
      </c>
      <c r="D82" s="110">
        <f t="shared" si="31"/>
        <v>0.127</v>
      </c>
      <c r="E82" s="110"/>
      <c r="F82" s="58">
        <f t="shared" si="32"/>
        <v>1.2667686979091502E-2</v>
      </c>
      <c r="G82" s="57">
        <f t="shared" si="36"/>
        <v>414.86403109113826</v>
      </c>
      <c r="H82" s="591">
        <f t="shared" si="34"/>
        <v>1361.1025077650499</v>
      </c>
      <c r="I82" s="366"/>
      <c r="J82" s="1"/>
      <c r="K82" s="1"/>
      <c r="L82" s="1"/>
    </row>
    <row r="83" spans="2:23" ht="22" customHeight="1" thickBot="1" x14ac:dyDescent="0.3">
      <c r="B83" s="411">
        <f t="shared" si="35"/>
        <v>37</v>
      </c>
      <c r="C83" s="110">
        <f t="shared" si="30"/>
        <v>4.4526285874075602E-3</v>
      </c>
      <c r="D83" s="110">
        <f t="shared" si="31"/>
        <v>0.11309676612015201</v>
      </c>
      <c r="E83" s="110"/>
      <c r="F83" s="58">
        <f t="shared" si="32"/>
        <v>1.0045932488820903E-2</v>
      </c>
      <c r="G83" s="57">
        <f t="shared" si="36"/>
        <v>523.13388434521016</v>
      </c>
      <c r="H83" s="591">
        <f t="shared" si="34"/>
        <v>1716.3185731151393</v>
      </c>
      <c r="I83" s="366"/>
      <c r="J83" s="89" t="s">
        <v>22</v>
      </c>
      <c r="K83" s="89" t="s">
        <v>31</v>
      </c>
      <c r="L83" s="89" t="s">
        <v>67</v>
      </c>
      <c r="M83" s="89" t="s">
        <v>64</v>
      </c>
      <c r="N83" s="89" t="s">
        <v>250</v>
      </c>
      <c r="O83" s="89" t="s">
        <v>373</v>
      </c>
      <c r="P83" s="89" t="s">
        <v>404</v>
      </c>
      <c r="Q83" s="89"/>
      <c r="R83" s="89"/>
      <c r="S83" s="89"/>
      <c r="T83" s="89"/>
      <c r="U83" s="89"/>
      <c r="V83" s="89"/>
      <c r="W83" s="89"/>
    </row>
    <row r="84" spans="2:23" ht="22" customHeight="1" x14ac:dyDescent="0.25">
      <c r="B84" s="411">
        <f t="shared" si="35"/>
        <v>38</v>
      </c>
      <c r="C84" s="110">
        <f t="shared" si="30"/>
        <v>3.9651802674798078E-3</v>
      </c>
      <c r="D84" s="110">
        <f t="shared" si="31"/>
        <v>0.10071557879398711</v>
      </c>
      <c r="E84" s="110"/>
      <c r="F84" s="58">
        <f t="shared" si="32"/>
        <v>7.9667866546213901E-3</v>
      </c>
      <c r="G84" s="57">
        <f t="shared" si="36"/>
        <v>659.65964856082587</v>
      </c>
      <c r="H84" s="591">
        <f t="shared" si="34"/>
        <v>2164.2377613843</v>
      </c>
      <c r="J84" s="601" t="s">
        <v>405</v>
      </c>
      <c r="K84" s="602">
        <v>3.9500000000000001E-4</v>
      </c>
      <c r="L84" s="603" t="s">
        <v>69</v>
      </c>
      <c r="M84" s="604">
        <v>50</v>
      </c>
      <c r="N84" s="605">
        <v>100</v>
      </c>
      <c r="O84" s="606">
        <f t="shared" ref="O84:O89" si="37">N84/M84</f>
        <v>2</v>
      </c>
      <c r="P84" s="607">
        <f t="shared" ref="P84:P89" si="38">1/K84/O84/37</f>
        <v>34.211426616489902</v>
      </c>
      <c r="Q84" s="7"/>
      <c r="R84" s="608"/>
      <c r="S84" s="587"/>
      <c r="T84" s="585"/>
      <c r="U84" s="586"/>
      <c r="V84" s="21"/>
      <c r="W84" s="609"/>
    </row>
    <row r="85" spans="2:23" ht="22" customHeight="1" x14ac:dyDescent="0.25">
      <c r="B85" s="411">
        <f t="shared" si="35"/>
        <v>39</v>
      </c>
      <c r="C85" s="110">
        <f t="shared" si="30"/>
        <v>3.5310950026409887E-3</v>
      </c>
      <c r="D85" s="110">
        <f t="shared" si="31"/>
        <v>8.9689813067081112E-2</v>
      </c>
      <c r="E85" s="110"/>
      <c r="F85" s="58">
        <f t="shared" si="32"/>
        <v>6.3179490476252403E-3</v>
      </c>
      <c r="G85" s="57">
        <f t="shared" si="36"/>
        <v>831.81545864507814</v>
      </c>
      <c r="H85" s="591">
        <f t="shared" si="34"/>
        <v>2729.0534293411183</v>
      </c>
      <c r="J85" s="610" t="s">
        <v>406</v>
      </c>
      <c r="K85" s="533">
        <v>4.9799999999999996E-4</v>
      </c>
      <c r="L85" s="611" t="s">
        <v>379</v>
      </c>
      <c r="M85" s="538">
        <v>100</v>
      </c>
      <c r="N85" s="536">
        <v>169.95</v>
      </c>
      <c r="O85" s="537">
        <f t="shared" si="37"/>
        <v>1.6994999999999998</v>
      </c>
      <c r="P85" s="612">
        <f t="shared" si="38"/>
        <v>31.933591414232431</v>
      </c>
      <c r="Q85" s="7"/>
      <c r="R85" s="608"/>
      <c r="S85" s="587"/>
      <c r="T85" s="585"/>
      <c r="U85" s="586"/>
      <c r="V85" s="21"/>
      <c r="W85" s="609"/>
    </row>
    <row r="86" spans="2:23" ht="22" customHeight="1" thickBot="1" x14ac:dyDescent="0.3">
      <c r="B86" s="423">
        <f t="shared" si="35"/>
        <v>40</v>
      </c>
      <c r="C86" s="613">
        <f t="shared" si="30"/>
        <v>3.1445309107222476E-3</v>
      </c>
      <c r="D86" s="613">
        <f t="shared" si="31"/>
        <v>7.9871085132345088E-2</v>
      </c>
      <c r="E86" s="613"/>
      <c r="F86" s="614">
        <f t="shared" si="32"/>
        <v>5.0103613789172895E-3</v>
      </c>
      <c r="G86" s="615">
        <f t="shared" si="36"/>
        <v>1048.8999270312672</v>
      </c>
      <c r="H86" s="616">
        <f t="shared" si="34"/>
        <v>3441.272836601263</v>
      </c>
      <c r="J86" s="617" t="s">
        <v>407</v>
      </c>
      <c r="K86" s="516">
        <v>1.047E-3</v>
      </c>
      <c r="L86" s="618" t="s">
        <v>379</v>
      </c>
      <c r="M86" s="521">
        <v>100</v>
      </c>
      <c r="N86" s="519">
        <v>100</v>
      </c>
      <c r="O86" s="520">
        <f t="shared" si="37"/>
        <v>1</v>
      </c>
      <c r="P86" s="619">
        <f t="shared" si="38"/>
        <v>25.813779395441287</v>
      </c>
      <c r="Q86" s="7"/>
      <c r="R86" s="608"/>
      <c r="S86" s="587"/>
      <c r="T86" s="585"/>
      <c r="U86" s="586"/>
      <c r="V86" s="21"/>
      <c r="W86" s="609"/>
    </row>
    <row r="87" spans="2:23" ht="22" customHeight="1" x14ac:dyDescent="0.25">
      <c r="J87" s="620" t="s">
        <v>408</v>
      </c>
      <c r="K87" s="549">
        <v>2.702E-3</v>
      </c>
      <c r="L87" s="621" t="s">
        <v>76</v>
      </c>
      <c r="M87" s="554">
        <v>100</v>
      </c>
      <c r="N87" s="552">
        <v>45</v>
      </c>
      <c r="O87" s="553">
        <f t="shared" si="37"/>
        <v>0.45</v>
      </c>
      <c r="P87" s="622">
        <f t="shared" si="38"/>
        <v>22.228001502612901</v>
      </c>
      <c r="Q87" s="7"/>
      <c r="R87" s="608"/>
      <c r="S87" s="587"/>
      <c r="T87" s="585"/>
      <c r="U87" s="586"/>
      <c r="V87" s="21"/>
      <c r="W87" s="609"/>
    </row>
    <row r="88" spans="2:23" ht="22" customHeight="1" x14ac:dyDescent="0.25">
      <c r="B88" s="1" t="s">
        <v>409</v>
      </c>
      <c r="J88" s="112" t="s">
        <v>410</v>
      </c>
      <c r="K88" s="11">
        <v>2.0820000000000001E-3</v>
      </c>
      <c r="L88" s="623" t="s">
        <v>411</v>
      </c>
      <c r="M88" s="565">
        <v>100</v>
      </c>
      <c r="N88" s="563">
        <v>87</v>
      </c>
      <c r="O88" s="564">
        <f t="shared" si="37"/>
        <v>0.87</v>
      </c>
      <c r="P88" s="624">
        <f t="shared" si="38"/>
        <v>14.92101263541192</v>
      </c>
      <c r="Q88" s="7"/>
      <c r="R88" s="608"/>
      <c r="S88" s="587"/>
      <c r="T88" s="585"/>
      <c r="U88" s="586"/>
      <c r="V88" s="21"/>
      <c r="W88" s="609"/>
    </row>
    <row r="89" spans="2:23" ht="22" customHeight="1" thickBot="1" x14ac:dyDescent="0.3">
      <c r="B89" s="7"/>
      <c r="J89" s="625" t="s">
        <v>412</v>
      </c>
      <c r="K89" s="626">
        <v>1.719E-3</v>
      </c>
      <c r="L89" s="627" t="s">
        <v>79</v>
      </c>
      <c r="M89" s="628">
        <v>25</v>
      </c>
      <c r="N89" s="629">
        <v>39</v>
      </c>
      <c r="O89" s="630">
        <f t="shared" si="37"/>
        <v>1.56</v>
      </c>
      <c r="P89" s="631">
        <f t="shared" si="38"/>
        <v>10.078544109957722</v>
      </c>
      <c r="Q89" s="7"/>
      <c r="R89" s="608"/>
      <c r="S89" s="587"/>
      <c r="T89" s="585"/>
      <c r="U89" s="586"/>
      <c r="V89" s="21"/>
      <c r="W89" s="609"/>
    </row>
    <row r="90" spans="2:23" ht="22" customHeight="1" x14ac:dyDescent="0.25">
      <c r="B90" s="1" t="s">
        <v>413</v>
      </c>
      <c r="J90" s="1"/>
      <c r="K90" s="1"/>
      <c r="L90" s="1"/>
    </row>
    <row r="91" spans="2:23" ht="22" customHeight="1" x14ac:dyDescent="0.25">
      <c r="J91" s="1"/>
      <c r="K91" s="1"/>
      <c r="L91" s="1"/>
    </row>
    <row r="92" spans="2:23" ht="22" customHeight="1" x14ac:dyDescent="0.25">
      <c r="J92" s="17" t="s">
        <v>402</v>
      </c>
      <c r="K92" s="1"/>
      <c r="L92" s="1"/>
      <c r="M92" s="1" t="s">
        <v>414</v>
      </c>
    </row>
    <row r="93" spans="2:23" ht="22" customHeight="1" x14ac:dyDescent="0.25">
      <c r="J93" s="1"/>
      <c r="K93" s="1"/>
      <c r="L93" s="1"/>
    </row>
    <row r="94" spans="2:23" ht="22" customHeight="1" thickBot="1" x14ac:dyDescent="0.3">
      <c r="J94" s="89" t="s">
        <v>22</v>
      </c>
      <c r="K94" s="89" t="s">
        <v>31</v>
      </c>
      <c r="L94" s="89" t="s">
        <v>67</v>
      </c>
      <c r="M94" s="89" t="s">
        <v>64</v>
      </c>
      <c r="N94" s="89" t="s">
        <v>250</v>
      </c>
      <c r="O94" s="89" t="s">
        <v>373</v>
      </c>
      <c r="P94" s="89" t="s">
        <v>404</v>
      </c>
      <c r="Q94" s="89" t="s">
        <v>415</v>
      </c>
    </row>
    <row r="95" spans="2:23" ht="22" customHeight="1" x14ac:dyDescent="0.25">
      <c r="J95" s="601" t="s">
        <v>405</v>
      </c>
      <c r="K95" s="602">
        <v>3.9500000000000001E-4</v>
      </c>
      <c r="L95" s="603" t="s">
        <v>69</v>
      </c>
      <c r="M95" s="604">
        <v>50</v>
      </c>
      <c r="N95" s="605">
        <v>74.37</v>
      </c>
      <c r="O95" s="606">
        <f t="shared" ref="O95:O100" si="39">N95/M95</f>
        <v>1.4874000000000001</v>
      </c>
      <c r="P95" s="632">
        <f t="shared" ref="P95:P100" si="40">1/K95/O95/45</f>
        <v>37.823578348800339</v>
      </c>
      <c r="Q95" s="633">
        <v>44071</v>
      </c>
    </row>
    <row r="96" spans="2:23" ht="22" customHeight="1" x14ac:dyDescent="0.25">
      <c r="J96" s="620" t="s">
        <v>408</v>
      </c>
      <c r="K96" s="549">
        <v>2.702E-3</v>
      </c>
      <c r="L96" s="621" t="s">
        <v>76</v>
      </c>
      <c r="M96" s="554">
        <v>100</v>
      </c>
      <c r="N96" s="552">
        <v>25</v>
      </c>
      <c r="O96" s="553">
        <f t="shared" si="39"/>
        <v>0.25</v>
      </c>
      <c r="P96" s="634">
        <f t="shared" si="40"/>
        <v>32.897442223867095</v>
      </c>
      <c r="Q96" s="635"/>
    </row>
    <row r="97" spans="10:17" ht="22" customHeight="1" x14ac:dyDescent="0.25">
      <c r="J97" s="610" t="s">
        <v>406</v>
      </c>
      <c r="K97" s="533">
        <v>4.9799999999999996E-4</v>
      </c>
      <c r="L97" s="611" t="s">
        <v>379</v>
      </c>
      <c r="M97" s="538">
        <v>100</v>
      </c>
      <c r="N97" s="536">
        <v>169.95</v>
      </c>
      <c r="O97" s="537">
        <f t="shared" si="39"/>
        <v>1.6994999999999998</v>
      </c>
      <c r="P97" s="636">
        <f t="shared" si="40"/>
        <v>26.256508496146665</v>
      </c>
      <c r="Q97" s="637">
        <v>44902</v>
      </c>
    </row>
    <row r="98" spans="10:17" ht="22" customHeight="1" x14ac:dyDescent="0.25">
      <c r="J98" s="617" t="s">
        <v>407</v>
      </c>
      <c r="K98" s="516">
        <v>1.047E-3</v>
      </c>
      <c r="L98" s="618" t="s">
        <v>379</v>
      </c>
      <c r="M98" s="521">
        <v>100</v>
      </c>
      <c r="N98" s="519">
        <v>106.95000000000002</v>
      </c>
      <c r="O98" s="520">
        <f t="shared" si="39"/>
        <v>1.0695000000000001</v>
      </c>
      <c r="P98" s="638">
        <f t="shared" si="40"/>
        <v>19.845407254300088</v>
      </c>
      <c r="Q98" s="639">
        <v>45134</v>
      </c>
    </row>
    <row r="99" spans="10:17" ht="22" customHeight="1" x14ac:dyDescent="0.25">
      <c r="J99" s="112" t="s">
        <v>410</v>
      </c>
      <c r="K99" s="11">
        <v>2.0820000000000001E-3</v>
      </c>
      <c r="L99" s="623" t="s">
        <v>411</v>
      </c>
      <c r="M99" s="565">
        <v>100</v>
      </c>
      <c r="N99" s="563">
        <v>84.82</v>
      </c>
      <c r="O99" s="564">
        <f t="shared" si="39"/>
        <v>0.84819999999999995</v>
      </c>
      <c r="P99" s="113">
        <f t="shared" si="40"/>
        <v>12.58370396745814</v>
      </c>
      <c r="Q99" s="640">
        <v>44476</v>
      </c>
    </row>
    <row r="100" spans="10:17" ht="22" customHeight="1" thickBot="1" x14ac:dyDescent="0.3">
      <c r="J100" s="625" t="s">
        <v>412</v>
      </c>
      <c r="K100" s="626">
        <v>1.719E-3</v>
      </c>
      <c r="L100" s="627" t="s">
        <v>79</v>
      </c>
      <c r="M100" s="628">
        <v>25</v>
      </c>
      <c r="N100" s="629">
        <v>32</v>
      </c>
      <c r="O100" s="630">
        <f t="shared" si="39"/>
        <v>1.28</v>
      </c>
      <c r="P100" s="641">
        <f t="shared" si="40"/>
        <v>10.099541076853468</v>
      </c>
      <c r="Q100" s="642"/>
    </row>
  </sheetData>
  <hyperlinks>
    <hyperlink ref="P4" r:id="rId1" display="https://www.amazon.com/dp/B0070RW30G?th=1" xr:uid="{00000000-0004-0000-0D00-000000000000}"/>
    <hyperlink ref="P5" r:id="rId2" display="https://www.amazon.com/gp/product/B06XF4WYJ6?th=1" xr:uid="{00000000-0004-0000-0D00-000001000000}"/>
    <hyperlink ref="P6" r:id="rId3" display="https://www.ebay.com/itm/193225917423" xr:uid="{00000000-0004-0000-0D00-000002000000}"/>
    <hyperlink ref="P7" r:id="rId4" display="https://www.menards.com/main/electrical/electrical-cords-surge-protectors/extension-cords/wrap-and-carry-hand-held-extension-cord-tender/500wr/p-1444423430986-c-6410.htm?tid=9186562849574361101&amp;ipos=6" xr:uid="{00000000-0004-0000-0D00-000003000000}"/>
    <hyperlink ref="P9" r:id="rId5" display="https://www.amazon.com/gp/product/B07PP64LQ8?th=1" xr:uid="{00000000-0004-0000-0D00-000004000000}"/>
    <hyperlink ref="L84" r:id="rId6" display="https://www.amazon.com/gp/product/B00LIB8BG0?th=1" xr:uid="{00000000-0004-0000-0D00-000005000000}"/>
    <hyperlink ref="L85" r:id="rId7" display="https://www.amazon.com/dp/B016N6YREY" xr:uid="{00000000-0004-0000-0D00-000006000000}"/>
    <hyperlink ref="L86" r:id="rId8" display="https://www.ebay.com/itm/282166118341" xr:uid="{00000000-0004-0000-0D00-000007000000}"/>
    <hyperlink ref="L87" r:id="rId9" display="https://www.amazon.com/dp/B00J357DGW" xr:uid="{00000000-0004-0000-0D00-000008000000}"/>
    <hyperlink ref="L88" r:id="rId10" display="https://www.amazon.com/dp/B0015XNBJS?th=1" xr:uid="{00000000-0004-0000-0D00-000009000000}"/>
    <hyperlink ref="L89" r:id="rId11" display="https://powerwerx.com/red-black-bonded-zip-cord" xr:uid="{00000000-0004-0000-0D00-00000A000000}"/>
    <hyperlink ref="L95" r:id="rId12" display="https://www.amazon.com/gp/product/B00LIB8BG0?th=1" xr:uid="{00000000-0004-0000-0D00-00000B000000}"/>
    <hyperlink ref="L96" r:id="rId13" display="https://www.amazon.com/dp/B00J357DGW" xr:uid="{00000000-0004-0000-0D00-00000C000000}"/>
    <hyperlink ref="L97" r:id="rId14" display="https://www.amazon.com/dp/B016N6YREY" xr:uid="{00000000-0004-0000-0D00-00000D000000}"/>
    <hyperlink ref="L98" r:id="rId15" display="https://www.ebay.com/itm/282166118341" xr:uid="{00000000-0004-0000-0D00-00000E000000}"/>
    <hyperlink ref="L99" r:id="rId16" display="https://www.amazon.com/dp/B0015XNBJS?th=1" xr:uid="{00000000-0004-0000-0D00-00000F000000}"/>
    <hyperlink ref="L100" r:id="rId17" display="https://powerwerx.com/red-black-bonded-zip-cord" xr:uid="{00000000-0004-0000-0D00-00001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C3F5-A490-D349-8DD3-6F1E82BB9AF1}">
  <dimension ref="A2:I31"/>
  <sheetViews>
    <sheetView workbookViewId="0">
      <selection activeCell="B21" sqref="B21"/>
    </sheetView>
  </sheetViews>
  <sheetFormatPr baseColWidth="10" defaultColWidth="15.83203125" defaultRowHeight="21" x14ac:dyDescent="0.25"/>
  <cols>
    <col min="1" max="5" width="15.83203125" style="1"/>
    <col min="6" max="6" width="18.5" style="1" customWidth="1"/>
    <col min="7" max="7" width="15.83203125" style="1"/>
    <col min="8" max="8" width="16.83203125" style="1" customWidth="1"/>
    <col min="9" max="16384" width="15.83203125" style="1"/>
  </cols>
  <sheetData>
    <row r="2" spans="2:5" x14ac:dyDescent="0.25">
      <c r="B2" s="3">
        <v>0.104</v>
      </c>
      <c r="E2" s="1" t="s">
        <v>428</v>
      </c>
    </row>
    <row r="3" spans="2:5" x14ac:dyDescent="0.25">
      <c r="B3" s="3">
        <v>3.7699999999999997E-2</v>
      </c>
      <c r="E3" s="1" t="s">
        <v>432</v>
      </c>
    </row>
    <row r="4" spans="2:5" x14ac:dyDescent="0.25">
      <c r="B4" s="3">
        <v>0.1206</v>
      </c>
      <c r="E4" s="1" t="s">
        <v>429</v>
      </c>
    </row>
    <row r="5" spans="2:5" x14ac:dyDescent="0.25">
      <c r="B5" s="3">
        <v>2.0000000000000001E-4</v>
      </c>
      <c r="E5" s="1" t="s">
        <v>431</v>
      </c>
    </row>
    <row r="6" spans="2:5" x14ac:dyDescent="0.25">
      <c r="B6" s="3">
        <v>0.1212</v>
      </c>
      <c r="E6" s="1" t="s">
        <v>430</v>
      </c>
    </row>
    <row r="8" spans="2:5" x14ac:dyDescent="0.25">
      <c r="B8" s="1" t="s">
        <v>433</v>
      </c>
    </row>
    <row r="9" spans="2:5" x14ac:dyDescent="0.25">
      <c r="B9" s="1" t="s">
        <v>435</v>
      </c>
    </row>
    <row r="10" spans="2:5" x14ac:dyDescent="0.25">
      <c r="B10" s="1" t="s">
        <v>434</v>
      </c>
    </row>
    <row r="13" spans="2:5" x14ac:dyDescent="0.25">
      <c r="B13" s="666">
        <v>45789</v>
      </c>
      <c r="C13" s="1" t="s">
        <v>436</v>
      </c>
    </row>
    <row r="14" spans="2:5" x14ac:dyDescent="0.25">
      <c r="C14" s="1" t="s">
        <v>437</v>
      </c>
    </row>
    <row r="15" spans="2:5" x14ac:dyDescent="0.25">
      <c r="C15" s="1" t="s">
        <v>438</v>
      </c>
    </row>
    <row r="17" spans="1:9" x14ac:dyDescent="0.25">
      <c r="B17" s="1">
        <v>60</v>
      </c>
      <c r="C17" s="1" t="s">
        <v>446</v>
      </c>
      <c r="E17" s="1" t="s">
        <v>450</v>
      </c>
    </row>
    <row r="18" spans="1:9" x14ac:dyDescent="0.25">
      <c r="B18" s="1">
        <v>18</v>
      </c>
      <c r="C18" s="1" t="s">
        <v>447</v>
      </c>
    </row>
    <row r="19" spans="1:9" x14ac:dyDescent="0.25">
      <c r="B19" s="5">
        <f>B17/B18</f>
        <v>3.3333333333333335</v>
      </c>
      <c r="C19" s="1" t="s">
        <v>448</v>
      </c>
    </row>
    <row r="20" spans="1:9" x14ac:dyDescent="0.25">
      <c r="B20" s="4">
        <v>5</v>
      </c>
      <c r="C20" s="1" t="s">
        <v>439</v>
      </c>
      <c r="F20" s="25" t="s">
        <v>35</v>
      </c>
      <c r="H20" s="25" t="s">
        <v>449</v>
      </c>
    </row>
    <row r="21" spans="1:9" x14ac:dyDescent="0.25">
      <c r="B21" s="287">
        <v>5</v>
      </c>
      <c r="C21" s="1" t="s">
        <v>440</v>
      </c>
      <c r="F21" s="25" t="s">
        <v>445</v>
      </c>
      <c r="G21" s="25" t="s">
        <v>31</v>
      </c>
      <c r="H21" s="25" t="s">
        <v>453</v>
      </c>
      <c r="I21" s="25" t="s">
        <v>28</v>
      </c>
    </row>
    <row r="22" spans="1:9" x14ac:dyDescent="0.25">
      <c r="A22" s="25" t="s">
        <v>443</v>
      </c>
      <c r="B22" s="1">
        <v>278</v>
      </c>
      <c r="C22" s="1" t="s">
        <v>441</v>
      </c>
      <c r="F22" s="1">
        <f>B22/1000/B20</f>
        <v>5.5600000000000004E-2</v>
      </c>
      <c r="G22" s="1">
        <f>F22/B21</f>
        <v>1.1120000000000001E-2</v>
      </c>
      <c r="H22" s="5">
        <f>POWER(B19,2)*F22</f>
        <v>0.61777777777777787</v>
      </c>
      <c r="I22" s="1">
        <v>20</v>
      </c>
    </row>
    <row r="23" spans="1:9" ht="22" thickBot="1" x14ac:dyDescent="0.3">
      <c r="B23" s="1">
        <v>329</v>
      </c>
      <c r="C23" s="1" t="s">
        <v>442</v>
      </c>
      <c r="F23" s="1">
        <f>B23/1000/B20</f>
        <v>6.5799999999999997E-2</v>
      </c>
      <c r="G23" s="1">
        <f>F23/B21</f>
        <v>1.316E-2</v>
      </c>
      <c r="H23" s="5">
        <f>POWER(B19,2)*F23</f>
        <v>0.73111111111111116</v>
      </c>
    </row>
    <row r="24" spans="1:9" ht="22" thickBot="1" x14ac:dyDescent="0.3">
      <c r="H24" s="667">
        <f>SUM(H22:H23)</f>
        <v>1.348888888888889</v>
      </c>
    </row>
    <row r="26" spans="1:9" x14ac:dyDescent="0.25">
      <c r="A26" s="25" t="s">
        <v>444</v>
      </c>
      <c r="B26" s="1">
        <v>108</v>
      </c>
      <c r="C26" s="1" t="s">
        <v>441</v>
      </c>
      <c r="F26" s="1">
        <f>B26/1000/B20</f>
        <v>2.1600000000000001E-2</v>
      </c>
      <c r="G26" s="1">
        <f>F26/B21</f>
        <v>4.3200000000000001E-3</v>
      </c>
      <c r="H26" s="5">
        <f>POWER(B19,2)*F26</f>
        <v>0.24000000000000005</v>
      </c>
      <c r="I26" s="1">
        <v>16</v>
      </c>
    </row>
    <row r="27" spans="1:9" ht="22" thickBot="1" x14ac:dyDescent="0.3">
      <c r="B27" s="1">
        <v>132</v>
      </c>
      <c r="C27" s="1" t="s">
        <v>442</v>
      </c>
      <c r="F27" s="1">
        <f>B27/1000/B20</f>
        <v>2.64E-2</v>
      </c>
      <c r="G27" s="1">
        <f>F27/B21</f>
        <v>5.28E-3</v>
      </c>
      <c r="H27" s="5">
        <f>POWER(B19,2)*F27</f>
        <v>0.29333333333333339</v>
      </c>
    </row>
    <row r="28" spans="1:9" ht="22" thickBot="1" x14ac:dyDescent="0.3">
      <c r="H28" s="667">
        <f>SUM(H26:H27)</f>
        <v>0.53333333333333344</v>
      </c>
    </row>
    <row r="30" spans="1:9" x14ac:dyDescent="0.25">
      <c r="C30" s="1" t="s">
        <v>451</v>
      </c>
    </row>
    <row r="31" spans="1:9" x14ac:dyDescent="0.25">
      <c r="C31" s="1" t="s">
        <v>452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
  <sheetViews>
    <sheetView workbookViewId="0"/>
  </sheetViews>
  <sheetFormatPr baseColWidth="10" defaultColWidth="10.83203125" defaultRowHeight="16" customHeight="1" x14ac:dyDescent="0.2"/>
  <sheetData>
    <row r="1" spans="1:6" ht="16" customHeight="1" x14ac:dyDescent="0.2">
      <c r="A1">
        <f>SUM(,)</f>
        <v>0</v>
      </c>
      <c r="B1">
        <f>{1,2;3,4}</f>
        <v>1</v>
      </c>
      <c r="C1">
        <f>LEN("abc")</f>
        <v>3</v>
      </c>
      <c r="D1">
        <f>SUM(1)</f>
        <v>1</v>
      </c>
      <c r="E1">
        <f>1.5</f>
        <v>1.5</v>
      </c>
      <c r="F1" s="643">
        <v>37623</v>
      </c>
    </row>
    <row r="2" spans="1:6" ht="16" customHeight="1" x14ac:dyDescent="0.2">
      <c r="A2" t="str">
        <f>DOLLAR(1,0)</f>
        <v>$1</v>
      </c>
      <c r="B2" t="str">
        <f>ADDRESS(1,1,2,0)</f>
        <v>R1C[1]</v>
      </c>
      <c r="C2" t="str">
        <f>FIXED(1E+21, 0, FALSE)</f>
        <v>1,000,000,000,000,000,000,000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BD93-82DB-6C41-8D15-97520FED031F}">
  <dimension ref="B2:C9"/>
  <sheetViews>
    <sheetView workbookViewId="0">
      <selection activeCell="B10" sqref="B10"/>
    </sheetView>
  </sheetViews>
  <sheetFormatPr baseColWidth="10" defaultRowHeight="21" x14ac:dyDescent="0.25"/>
  <cols>
    <col min="1" max="1" width="10.83203125" style="1"/>
    <col min="2" max="2" width="15" style="1" customWidth="1"/>
    <col min="3" max="16384" width="10.83203125" style="1"/>
  </cols>
  <sheetData>
    <row r="2" spans="2:3" x14ac:dyDescent="0.25">
      <c r="C2" s="1" t="s">
        <v>455</v>
      </c>
    </row>
    <row r="3" spans="2:3" x14ac:dyDescent="0.25">
      <c r="B3" s="1">
        <v>14</v>
      </c>
      <c r="C3" s="1" t="s">
        <v>64</v>
      </c>
    </row>
    <row r="4" spans="2:3" x14ac:dyDescent="0.25">
      <c r="B4" s="1">
        <v>10</v>
      </c>
      <c r="C4" s="1" t="s">
        <v>454</v>
      </c>
    </row>
    <row r="5" spans="2:3" x14ac:dyDescent="0.25">
      <c r="B5" s="1">
        <v>44.628</v>
      </c>
      <c r="C5" s="1" t="s">
        <v>458</v>
      </c>
    </row>
    <row r="7" spans="2:3" x14ac:dyDescent="0.25">
      <c r="B7" s="1">
        <f>B3+B4/12</f>
        <v>14.833333333333334</v>
      </c>
      <c r="C7" s="1" t="s">
        <v>456</v>
      </c>
    </row>
    <row r="8" spans="2:3" x14ac:dyDescent="0.25">
      <c r="B8" s="1">
        <f>B7/1000</f>
        <v>1.4833333333333334E-2</v>
      </c>
      <c r="C8" s="1" t="s">
        <v>457</v>
      </c>
    </row>
    <row r="9" spans="2:3" x14ac:dyDescent="0.25">
      <c r="B9" s="1">
        <f>B5/1000/B8</f>
        <v>3.0086292134831458</v>
      </c>
      <c r="C9" s="1"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36"/>
  <sheetViews>
    <sheetView workbookViewId="0">
      <selection activeCell="E7" sqref="E7"/>
    </sheetView>
  </sheetViews>
  <sheetFormatPr baseColWidth="10" defaultColWidth="20.83203125" defaultRowHeight="21" customHeight="1" x14ac:dyDescent="0.25"/>
  <cols>
    <col min="1" max="1" width="3.83203125" style="1" customWidth="1"/>
    <col min="2" max="16384" width="20.83203125" style="1"/>
  </cols>
  <sheetData>
    <row r="2" spans="2:11" ht="21" customHeight="1" x14ac:dyDescent="0.25">
      <c r="B2" s="128" t="s">
        <v>91</v>
      </c>
    </row>
    <row r="3" spans="2:11" ht="22" customHeight="1" thickBot="1" x14ac:dyDescent="0.3">
      <c r="B3" s="129"/>
      <c r="C3" s="130"/>
      <c r="D3" s="130"/>
      <c r="E3" s="130"/>
      <c r="F3" s="130"/>
      <c r="G3" s="130"/>
      <c r="H3" s="130"/>
      <c r="I3" s="130"/>
      <c r="J3" s="130"/>
      <c r="K3" s="130"/>
    </row>
    <row r="4" spans="2:11" ht="22" customHeight="1" thickTop="1" x14ac:dyDescent="0.25">
      <c r="B4" s="128"/>
    </row>
    <row r="5" spans="2:11" ht="21" customHeight="1" x14ac:dyDescent="0.25">
      <c r="C5" s="7" t="s">
        <v>92</v>
      </c>
      <c r="E5" s="131"/>
      <c r="F5" s="89" t="s">
        <v>93</v>
      </c>
      <c r="G5" s="89" t="s">
        <v>25</v>
      </c>
      <c r="H5" s="89" t="s">
        <v>25</v>
      </c>
      <c r="I5" s="89" t="s">
        <v>94</v>
      </c>
      <c r="J5" s="89" t="s">
        <v>95</v>
      </c>
    </row>
    <row r="6" spans="2:11" ht="22" customHeight="1" thickBot="1" x14ac:dyDescent="0.3">
      <c r="D6" s="132" t="s">
        <v>96</v>
      </c>
      <c r="E6" s="133" t="s">
        <v>97</v>
      </c>
      <c r="F6" s="134" t="s">
        <v>35</v>
      </c>
      <c r="G6" s="134" t="s">
        <v>37</v>
      </c>
      <c r="H6" s="134" t="s">
        <v>38</v>
      </c>
      <c r="I6" s="134" t="s">
        <v>38</v>
      </c>
      <c r="J6" s="134" t="s">
        <v>98</v>
      </c>
    </row>
    <row r="7" spans="2:11" ht="22" customHeight="1" thickBot="1" x14ac:dyDescent="0.3">
      <c r="B7" s="135" t="s">
        <v>99</v>
      </c>
      <c r="C7" s="136">
        <v>85</v>
      </c>
      <c r="D7" s="137">
        <v>200</v>
      </c>
      <c r="E7" s="7" t="s">
        <v>100</v>
      </c>
      <c r="F7" s="138">
        <f>VLOOKUP(E7,distline_table,6,FALSE)</f>
        <v>3.95E-2</v>
      </c>
      <c r="G7" s="38">
        <f>C8*F7</f>
        <v>7.9000000000000001E-2</v>
      </c>
      <c r="H7" s="44">
        <f>G7*C8</f>
        <v>0.158</v>
      </c>
      <c r="I7" s="44">
        <f>C10-H7</f>
        <v>169.84200000000001</v>
      </c>
      <c r="J7" s="139">
        <f>I7/C10</f>
        <v>0.99907058823529415</v>
      </c>
      <c r="K7" s="7"/>
    </row>
    <row r="8" spans="2:11" ht="22" customHeight="1" thickBot="1" x14ac:dyDescent="0.3">
      <c r="B8" s="135" t="s">
        <v>101</v>
      </c>
      <c r="C8" s="136">
        <v>2</v>
      </c>
      <c r="D8" s="140">
        <v>170</v>
      </c>
      <c r="E8" s="141" t="s">
        <v>102</v>
      </c>
      <c r="F8" s="142">
        <f>VLOOKUP(E8,distline_table,6,FALSE)</f>
        <v>9.9500000000000005E-2</v>
      </c>
      <c r="G8" s="105">
        <f>C8*F8</f>
        <v>0.19900000000000001</v>
      </c>
      <c r="H8" s="143">
        <f>G8*C8</f>
        <v>0.39800000000000002</v>
      </c>
      <c r="I8" s="144">
        <f>C10-H8</f>
        <v>169.602</v>
      </c>
      <c r="J8" s="145">
        <f>I8/C10</f>
        <v>0.99765882352941182</v>
      </c>
      <c r="K8" s="7"/>
    </row>
    <row r="9" spans="2:11" ht="22" customHeight="1" thickBot="1" x14ac:dyDescent="0.3">
      <c r="D9" s="137">
        <v>100</v>
      </c>
      <c r="E9" s="7" t="s">
        <v>103</v>
      </c>
      <c r="F9" s="146">
        <f>VLOOKUP(E9,distline_table,6,FALSE)</f>
        <v>0.20936199999999999</v>
      </c>
      <c r="G9" s="32">
        <f>C8*F9</f>
        <v>0.41872399999999999</v>
      </c>
      <c r="H9" s="21">
        <f>G9*C8</f>
        <v>0.83744799999999997</v>
      </c>
      <c r="I9" s="21">
        <f>C10-H9</f>
        <v>169.16255200000001</v>
      </c>
      <c r="J9" s="147">
        <f>I9/C10</f>
        <v>0.99507383529411764</v>
      </c>
      <c r="K9" s="7"/>
    </row>
    <row r="10" spans="2:11" ht="22" customHeight="1" thickBot="1" x14ac:dyDescent="0.3">
      <c r="B10" s="135" t="s">
        <v>104</v>
      </c>
      <c r="C10" s="148">
        <f>C7*C8</f>
        <v>170</v>
      </c>
      <c r="D10" s="137">
        <v>40</v>
      </c>
      <c r="E10" s="149" t="s">
        <v>105</v>
      </c>
      <c r="F10" s="150">
        <f>VLOOKUP(E10,distline_table,6,FALSE)</f>
        <v>0.5403</v>
      </c>
      <c r="G10" s="151">
        <f>C8*F10</f>
        <v>1.0806</v>
      </c>
      <c r="H10" s="152">
        <f>G10*C8</f>
        <v>2.1612</v>
      </c>
      <c r="I10" s="153">
        <f>C10-H10</f>
        <v>167.83879999999999</v>
      </c>
      <c r="J10" s="154">
        <f>I10/C10</f>
        <v>0.98728705882352941</v>
      </c>
      <c r="K10" s="7"/>
    </row>
    <row r="11" spans="2:11" ht="22" customHeight="1" thickBot="1" x14ac:dyDescent="0.3">
      <c r="B11" s="130"/>
      <c r="C11" s="130"/>
      <c r="D11" s="130"/>
      <c r="E11" s="155"/>
      <c r="F11" s="130"/>
      <c r="G11" s="130"/>
      <c r="H11" s="130"/>
      <c r="I11" s="130"/>
      <c r="J11" s="130"/>
      <c r="K11" s="130"/>
    </row>
    <row r="12" spans="2:11" ht="22" customHeight="1" thickTop="1" x14ac:dyDescent="0.25">
      <c r="E12" s="7"/>
    </row>
    <row r="13" spans="2:11" ht="21" customHeight="1" x14ac:dyDescent="0.25">
      <c r="C13" s="7" t="s">
        <v>106</v>
      </c>
      <c r="E13" s="156"/>
      <c r="F13" s="89" t="s">
        <v>93</v>
      </c>
      <c r="G13" s="89" t="s">
        <v>25</v>
      </c>
      <c r="H13" s="89" t="s">
        <v>25</v>
      </c>
      <c r="I13" s="89" t="s">
        <v>94</v>
      </c>
      <c r="J13" s="89" t="s">
        <v>95</v>
      </c>
    </row>
    <row r="14" spans="2:11" ht="22" customHeight="1" thickBot="1" x14ac:dyDescent="0.3">
      <c r="E14" s="133" t="s">
        <v>97</v>
      </c>
      <c r="F14" s="134" t="s">
        <v>35</v>
      </c>
      <c r="G14" s="134" t="s">
        <v>37</v>
      </c>
      <c r="H14" s="134" t="s">
        <v>38</v>
      </c>
      <c r="I14" s="134" t="s">
        <v>38</v>
      </c>
      <c r="J14" s="134" t="s">
        <v>98</v>
      </c>
    </row>
    <row r="15" spans="2:11" ht="22" customHeight="1" thickBot="1" x14ac:dyDescent="0.3">
      <c r="B15" s="135" t="s">
        <v>99</v>
      </c>
      <c r="C15" s="136">
        <v>75</v>
      </c>
      <c r="E15" s="7" t="s">
        <v>100</v>
      </c>
      <c r="F15" s="138">
        <f>VLOOKUP(E15,distline_table,6,FALSE)</f>
        <v>3.95E-2</v>
      </c>
      <c r="G15" s="38">
        <f>C16*F15</f>
        <v>0.27650000000000002</v>
      </c>
      <c r="H15" s="44">
        <f>G15*C16</f>
        <v>1.9355000000000002</v>
      </c>
      <c r="I15" s="44">
        <f>C18-H15</f>
        <v>523.06449999999995</v>
      </c>
      <c r="J15" s="139">
        <f>I15/C18</f>
        <v>0.99631333333333327</v>
      </c>
    </row>
    <row r="16" spans="2:11" ht="22" customHeight="1" thickBot="1" x14ac:dyDescent="0.3">
      <c r="B16" s="135" t="s">
        <v>101</v>
      </c>
      <c r="C16" s="136">
        <v>7</v>
      </c>
      <c r="E16" s="141" t="s">
        <v>102</v>
      </c>
      <c r="F16" s="142">
        <f>VLOOKUP(E16,distline_table,6,FALSE)</f>
        <v>9.9500000000000005E-2</v>
      </c>
      <c r="G16" s="105">
        <f>C16*F16</f>
        <v>0.69650000000000001</v>
      </c>
      <c r="H16" s="143">
        <f>G16*C16</f>
        <v>4.8754999999999997</v>
      </c>
      <c r="I16" s="144">
        <f>C18-H16</f>
        <v>520.12450000000001</v>
      </c>
      <c r="J16" s="145">
        <f>I16/C18</f>
        <v>0.99071333333333333</v>
      </c>
    </row>
    <row r="17" spans="2:11" ht="22" customHeight="1" thickBot="1" x14ac:dyDescent="0.3">
      <c r="E17" s="7" t="s">
        <v>103</v>
      </c>
      <c r="F17" s="146">
        <f>VLOOKUP(E17,distline_table,6,FALSE)</f>
        <v>0.20936199999999999</v>
      </c>
      <c r="G17" s="32">
        <f>C16*F17</f>
        <v>1.4655339999999999</v>
      </c>
      <c r="H17" s="21">
        <f>G17*C16</f>
        <v>10.258737999999999</v>
      </c>
      <c r="I17" s="21">
        <f>C18-H17</f>
        <v>514.74126200000001</v>
      </c>
      <c r="J17" s="147">
        <f>I17/C18</f>
        <v>0.98045954666666668</v>
      </c>
    </row>
    <row r="18" spans="2:11" ht="22" customHeight="1" thickBot="1" x14ac:dyDescent="0.3">
      <c r="B18" s="135" t="s">
        <v>104</v>
      </c>
      <c r="C18" s="148">
        <f>C15*C16</f>
        <v>525</v>
      </c>
      <c r="E18" s="149" t="s">
        <v>105</v>
      </c>
      <c r="F18" s="150">
        <f>VLOOKUP(E18,distline_table,6,FALSE)</f>
        <v>0.5403</v>
      </c>
      <c r="G18" s="151">
        <f>C16*F18</f>
        <v>3.7820999999999998</v>
      </c>
      <c r="H18" s="152">
        <f>G18*C16</f>
        <v>26.474699999999999</v>
      </c>
      <c r="I18" s="153">
        <f>C18-H18</f>
        <v>498.52530000000002</v>
      </c>
      <c r="J18" s="154">
        <f>I18/C18</f>
        <v>0.94957200000000008</v>
      </c>
    </row>
    <row r="19" spans="2:11" ht="22" customHeight="1" thickBot="1" x14ac:dyDescent="0.3">
      <c r="B19" s="130"/>
      <c r="C19" s="130"/>
      <c r="D19" s="130"/>
      <c r="E19" s="155"/>
      <c r="F19" s="130"/>
      <c r="G19" s="130"/>
      <c r="H19" s="130"/>
      <c r="I19" s="130"/>
      <c r="J19" s="130"/>
      <c r="K19" s="130"/>
    </row>
    <row r="20" spans="2:11" ht="22" customHeight="1" thickTop="1" x14ac:dyDescent="0.25">
      <c r="E20" s="7"/>
    </row>
    <row r="21" spans="2:11" ht="21" customHeight="1" x14ac:dyDescent="0.25">
      <c r="C21" s="7" t="s">
        <v>107</v>
      </c>
      <c r="E21" s="156"/>
      <c r="F21" s="89" t="s">
        <v>93</v>
      </c>
      <c r="G21" s="89" t="s">
        <v>25</v>
      </c>
      <c r="H21" s="89" t="s">
        <v>25</v>
      </c>
      <c r="I21" s="89" t="s">
        <v>94</v>
      </c>
      <c r="J21" s="89" t="s">
        <v>95</v>
      </c>
    </row>
    <row r="22" spans="2:11" ht="22" customHeight="1" thickBot="1" x14ac:dyDescent="0.3">
      <c r="E22" s="133" t="s">
        <v>97</v>
      </c>
      <c r="F22" s="134" t="s">
        <v>35</v>
      </c>
      <c r="G22" s="134" t="s">
        <v>37</v>
      </c>
      <c r="H22" s="134" t="s">
        <v>38</v>
      </c>
      <c r="I22" s="134" t="s">
        <v>38</v>
      </c>
      <c r="J22" s="134" t="s">
        <v>98</v>
      </c>
    </row>
    <row r="23" spans="2:11" ht="22" customHeight="1" thickBot="1" x14ac:dyDescent="0.3">
      <c r="B23" s="135" t="s">
        <v>99</v>
      </c>
      <c r="C23" s="136">
        <v>65</v>
      </c>
      <c r="E23" s="7" t="s">
        <v>100</v>
      </c>
      <c r="F23" s="138">
        <f>VLOOKUP(E23,distline_table,6,FALSE)</f>
        <v>3.95E-2</v>
      </c>
      <c r="G23" s="38">
        <f>C24*F23</f>
        <v>0.47399999999999998</v>
      </c>
      <c r="H23" s="44">
        <f>G23*C24</f>
        <v>5.6879999999999997</v>
      </c>
      <c r="I23" s="44">
        <f>C26-H23</f>
        <v>774.31200000000001</v>
      </c>
      <c r="J23" s="139">
        <f>I23/C26</f>
        <v>0.99270769230769229</v>
      </c>
    </row>
    <row r="24" spans="2:11" ht="22" customHeight="1" thickBot="1" x14ac:dyDescent="0.3">
      <c r="B24" s="135" t="s">
        <v>101</v>
      </c>
      <c r="C24" s="136">
        <v>12</v>
      </c>
      <c r="E24" s="141" t="s">
        <v>102</v>
      </c>
      <c r="F24" s="142">
        <f>VLOOKUP(E24,distline_table,6,FALSE)</f>
        <v>9.9500000000000005E-2</v>
      </c>
      <c r="G24" s="105">
        <f>C24*F24</f>
        <v>1.194</v>
      </c>
      <c r="H24" s="143">
        <f>G24*C24</f>
        <v>14.327999999999999</v>
      </c>
      <c r="I24" s="144">
        <f>C26-H24</f>
        <v>765.67200000000003</v>
      </c>
      <c r="J24" s="145">
        <f>I24/C26</f>
        <v>0.98163076923076931</v>
      </c>
    </row>
    <row r="25" spans="2:11" ht="22" customHeight="1" thickBot="1" x14ac:dyDescent="0.3">
      <c r="E25" s="7" t="s">
        <v>103</v>
      </c>
      <c r="F25" s="146">
        <f>VLOOKUP(E25,distline_table,6,FALSE)</f>
        <v>0.20936199999999999</v>
      </c>
      <c r="G25" s="32">
        <f>C24*F25</f>
        <v>2.5123439999999997</v>
      </c>
      <c r="H25" s="21">
        <f>G25*C24</f>
        <v>30.148127999999996</v>
      </c>
      <c r="I25" s="21">
        <f>C26-H25</f>
        <v>749.85187199999996</v>
      </c>
      <c r="J25" s="147">
        <f>I25/C26</f>
        <v>0.96134855384615381</v>
      </c>
    </row>
    <row r="26" spans="2:11" ht="22" customHeight="1" thickBot="1" x14ac:dyDescent="0.3">
      <c r="B26" s="135" t="s">
        <v>104</v>
      </c>
      <c r="C26" s="148">
        <f>C23*C24</f>
        <v>780</v>
      </c>
      <c r="E26" s="149" t="s">
        <v>105</v>
      </c>
      <c r="F26" s="150">
        <f>VLOOKUP(E26,distline_table,6,FALSE)</f>
        <v>0.5403</v>
      </c>
      <c r="G26" s="151">
        <f>C24*F26</f>
        <v>6.4836</v>
      </c>
      <c r="H26" s="152">
        <f>G26*C24</f>
        <v>77.803200000000004</v>
      </c>
      <c r="I26" s="153">
        <f>C26-H26</f>
        <v>702.19679999999994</v>
      </c>
      <c r="J26" s="154">
        <f>I26/C26</f>
        <v>0.90025230769230757</v>
      </c>
    </row>
    <row r="27" spans="2:11" ht="22" customHeight="1" thickBot="1" x14ac:dyDescent="0.3">
      <c r="B27" s="130"/>
      <c r="C27" s="130"/>
      <c r="D27" s="130"/>
      <c r="E27" s="155"/>
      <c r="F27" s="130"/>
      <c r="G27" s="130"/>
      <c r="H27" s="130"/>
      <c r="I27" s="130"/>
      <c r="J27" s="130"/>
      <c r="K27" s="130"/>
    </row>
    <row r="28" spans="2:11" ht="22" customHeight="1" thickTop="1" x14ac:dyDescent="0.25">
      <c r="E28" s="7"/>
    </row>
    <row r="29" spans="2:11" ht="21" customHeight="1" x14ac:dyDescent="0.25">
      <c r="C29" s="7" t="s">
        <v>108</v>
      </c>
      <c r="E29" s="156"/>
      <c r="F29" s="89" t="s">
        <v>93</v>
      </c>
      <c r="G29" s="89" t="s">
        <v>25</v>
      </c>
      <c r="H29" s="89" t="s">
        <v>25</v>
      </c>
      <c r="I29" s="89" t="s">
        <v>94</v>
      </c>
      <c r="J29" s="89" t="s">
        <v>95</v>
      </c>
    </row>
    <row r="30" spans="2:11" ht="22" customHeight="1" thickBot="1" x14ac:dyDescent="0.3">
      <c r="E30" s="133" t="s">
        <v>97</v>
      </c>
      <c r="F30" s="134" t="s">
        <v>35</v>
      </c>
      <c r="G30" s="134" t="s">
        <v>37</v>
      </c>
      <c r="H30" s="134" t="s">
        <v>38</v>
      </c>
      <c r="I30" s="134" t="s">
        <v>38</v>
      </c>
      <c r="J30" s="134" t="s">
        <v>98</v>
      </c>
    </row>
    <row r="31" spans="2:11" ht="22" customHeight="1" thickBot="1" x14ac:dyDescent="0.3">
      <c r="B31" s="135" t="s">
        <v>99</v>
      </c>
      <c r="C31" s="136">
        <v>59</v>
      </c>
      <c r="E31" s="7" t="s">
        <v>100</v>
      </c>
      <c r="F31" s="138">
        <f>VLOOKUP(E31,distline_table,6,FALSE)</f>
        <v>3.95E-2</v>
      </c>
      <c r="G31" s="38">
        <f>C32*F31</f>
        <v>0.59250000000000003</v>
      </c>
      <c r="H31" s="44">
        <f>G31*C32</f>
        <v>8.8875000000000011</v>
      </c>
      <c r="I31" s="44">
        <f>C34-H31</f>
        <v>876.11249999999995</v>
      </c>
      <c r="J31" s="139">
        <f>I31/C34</f>
        <v>0.98995762711864399</v>
      </c>
    </row>
    <row r="32" spans="2:11" ht="22" customHeight="1" thickBot="1" x14ac:dyDescent="0.3">
      <c r="B32" s="135" t="s">
        <v>101</v>
      </c>
      <c r="C32" s="136">
        <v>15</v>
      </c>
      <c r="E32" s="141" t="s">
        <v>102</v>
      </c>
      <c r="F32" s="142">
        <f>VLOOKUP(E32,distline_table,6,FALSE)</f>
        <v>9.9500000000000005E-2</v>
      </c>
      <c r="G32" s="105">
        <f>C32*F32</f>
        <v>1.4925000000000002</v>
      </c>
      <c r="H32" s="143">
        <f>G32*C32</f>
        <v>22.387500000000003</v>
      </c>
      <c r="I32" s="144">
        <f>C34-H32</f>
        <v>862.61249999999995</v>
      </c>
      <c r="J32" s="145">
        <f>I32/C34</f>
        <v>0.97470338983050842</v>
      </c>
    </row>
    <row r="33" spans="2:11" ht="22" customHeight="1" thickBot="1" x14ac:dyDescent="0.3">
      <c r="E33" s="7" t="s">
        <v>103</v>
      </c>
      <c r="F33" s="146">
        <f>VLOOKUP(E33,distline_table,6,FALSE)</f>
        <v>0.20936199999999999</v>
      </c>
      <c r="G33" s="32">
        <f>C32*F33</f>
        <v>3.1404299999999998</v>
      </c>
      <c r="H33" s="21">
        <f>G33*C32</f>
        <v>47.106449999999995</v>
      </c>
      <c r="I33" s="21">
        <f>C34-H33</f>
        <v>837.89355</v>
      </c>
      <c r="J33" s="147">
        <f>I33/C34</f>
        <v>0.94677237288135596</v>
      </c>
    </row>
    <row r="34" spans="2:11" ht="22" customHeight="1" thickBot="1" x14ac:dyDescent="0.3">
      <c r="B34" s="135" t="s">
        <v>104</v>
      </c>
      <c r="C34" s="148">
        <f>C31*C32</f>
        <v>885</v>
      </c>
      <c r="E34" s="149" t="s">
        <v>105</v>
      </c>
      <c r="F34" s="150">
        <f>VLOOKUP(E34,distline_table,6,FALSE)</f>
        <v>0.5403</v>
      </c>
      <c r="G34" s="151">
        <f>C32*F34</f>
        <v>8.1044999999999998</v>
      </c>
      <c r="H34" s="152">
        <f>G34*C32</f>
        <v>121.5675</v>
      </c>
      <c r="I34" s="153">
        <f>C34-H34</f>
        <v>763.4325</v>
      </c>
      <c r="J34" s="157">
        <f>I34/C34</f>
        <v>0.862635593220339</v>
      </c>
    </row>
    <row r="35" spans="2:11" ht="22" customHeight="1" thickBot="1" x14ac:dyDescent="0.3">
      <c r="B35" s="130"/>
      <c r="C35" s="130"/>
      <c r="D35" s="130"/>
      <c r="E35" s="155"/>
      <c r="F35" s="130"/>
      <c r="G35" s="130"/>
      <c r="H35" s="130"/>
      <c r="I35" s="130"/>
      <c r="J35" s="130"/>
      <c r="K35" s="130"/>
    </row>
    <row r="36" spans="2:11" ht="22" customHeight="1" thickTop="1" x14ac:dyDescent="0.25"/>
  </sheetData>
  <dataValidations count="1">
    <dataValidation type="list" allowBlank="1" showInputMessage="1" showErrorMessage="1" sqref="E7:E10 E15:E18 E23:E26 E31:E34" xr:uid="{00000000-0002-0000-0100-000000000000}">
      <formula1>distline_choices</formula1>
    </dataValidation>
  </dataValidations>
  <hyperlinks>
    <hyperlink ref="D7" r:id="rId1" display="https://www.amazon.com/dp/B00LIB8BG0" xr:uid="{00000000-0004-0000-0100-000000000000}"/>
    <hyperlink ref="D8" r:id="rId2" display="https://www.amazon.com/dp/B016N6YREY" xr:uid="{00000000-0004-0000-0100-000001000000}"/>
    <hyperlink ref="D9" r:id="rId3" display="https://www.ebay.com/itm/282166118341" xr:uid="{00000000-0004-0000-0100-000002000000}"/>
    <hyperlink ref="D10" r:id="rId4" display="https://www.amazon.com/dp/B00J357DGW" xr:uid="{00000000-0004-0000-01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R43"/>
  <sheetViews>
    <sheetView workbookViewId="0">
      <selection activeCell="J45" sqref="J45"/>
    </sheetView>
  </sheetViews>
  <sheetFormatPr baseColWidth="10" defaultColWidth="20.83203125" defaultRowHeight="21" customHeight="1" x14ac:dyDescent="0.25"/>
  <cols>
    <col min="1" max="1" width="3.83203125" style="1" customWidth="1"/>
    <col min="2" max="16384" width="20.83203125" style="1"/>
  </cols>
  <sheetData>
    <row r="2" spans="2:18" ht="21" customHeight="1" x14ac:dyDescent="0.25">
      <c r="B2" s="128" t="s">
        <v>109</v>
      </c>
    </row>
    <row r="3" spans="2:18" ht="22" customHeight="1" thickBot="1" x14ac:dyDescent="0.3">
      <c r="B3" s="129"/>
      <c r="C3" s="130"/>
      <c r="D3" s="130"/>
      <c r="E3" s="130"/>
      <c r="F3" s="130"/>
      <c r="G3" s="130"/>
      <c r="H3" s="130"/>
      <c r="I3" s="130"/>
      <c r="J3" s="130"/>
      <c r="K3" s="130"/>
      <c r="L3" s="130"/>
      <c r="M3" s="130"/>
      <c r="N3" s="130"/>
      <c r="O3" s="130"/>
    </row>
    <row r="4" spans="2:18" ht="22" customHeight="1" thickTop="1" x14ac:dyDescent="0.25">
      <c r="B4" s="128"/>
    </row>
    <row r="5" spans="2:18" ht="22" customHeight="1" thickBot="1" x14ac:dyDescent="0.3">
      <c r="E5" s="131"/>
      <c r="F5" s="89" t="s">
        <v>93</v>
      </c>
      <c r="G5" s="89" t="s">
        <v>110</v>
      </c>
      <c r="H5" s="89" t="s">
        <v>24</v>
      </c>
      <c r="I5" s="89" t="s">
        <v>111</v>
      </c>
      <c r="J5" s="89" t="s">
        <v>25</v>
      </c>
      <c r="K5" s="89" t="s">
        <v>25</v>
      </c>
      <c r="L5" s="89" t="s">
        <v>94</v>
      </c>
      <c r="M5" s="89" t="s">
        <v>98</v>
      </c>
      <c r="N5" s="89" t="s">
        <v>112</v>
      </c>
    </row>
    <row r="6" spans="2:18" ht="22" customHeight="1" thickBot="1" x14ac:dyDescent="0.3">
      <c r="C6" s="7" t="s">
        <v>113</v>
      </c>
      <c r="E6" s="158" t="s">
        <v>97</v>
      </c>
      <c r="F6" s="134" t="s">
        <v>35</v>
      </c>
      <c r="G6" s="134" t="s">
        <v>36</v>
      </c>
      <c r="H6" s="134" t="s">
        <v>35</v>
      </c>
      <c r="I6" s="134" t="s">
        <v>35</v>
      </c>
      <c r="J6" s="134" t="s">
        <v>37</v>
      </c>
      <c r="K6" s="134" t="s">
        <v>38</v>
      </c>
      <c r="L6" s="134" t="s">
        <v>38</v>
      </c>
      <c r="M6" s="134" t="s">
        <v>27</v>
      </c>
      <c r="N6" s="134" t="s">
        <v>98</v>
      </c>
      <c r="P6" s="159" t="s">
        <v>114</v>
      </c>
      <c r="Q6" s="160">
        <f>L8-L15</f>
        <v>22.886214910909636</v>
      </c>
      <c r="R6" s="161" t="s">
        <v>115</v>
      </c>
    </row>
    <row r="7" spans="2:18" ht="22" customHeight="1" thickBot="1" x14ac:dyDescent="0.3">
      <c r="B7" s="135" t="s">
        <v>101</v>
      </c>
      <c r="C7" s="136">
        <v>5</v>
      </c>
      <c r="E7" s="88" t="str">
        <f t="shared" ref="E7:E15" si="0">INDEX(distline_choices,ROW(E7)-ROW(E$6))</f>
        <v>12.5' #10 CU</v>
      </c>
      <c r="F7" s="162">
        <f t="shared" ref="F7:F15" si="1">VLOOKUP(E7,distline_table,6,FALSE)</f>
        <v>2.6170249999999999E-2</v>
      </c>
      <c r="G7" s="163">
        <f t="shared" ref="G7:G15" si="2">(1-(F7/(F7+C$12)))*C$7</f>
        <v>4.7027258202933977</v>
      </c>
      <c r="H7" s="163">
        <f t="shared" ref="H7:H15" si="3">C$10/G7</f>
        <v>2.9344683333333337</v>
      </c>
      <c r="I7" s="99">
        <f t="shared" ref="I7:I15" si="4">H7-F7</f>
        <v>2.9082980833333338</v>
      </c>
      <c r="J7" s="164">
        <f t="shared" ref="J7:J15" si="5">G7*F7</f>
        <v>0.12307151039853328</v>
      </c>
      <c r="K7" s="165">
        <f t="shared" ref="K7:K15" si="6">J7*G7</f>
        <v>0.57877156969368981</v>
      </c>
      <c r="L7" s="166">
        <f t="shared" ref="L7:L15" si="7">G7*G7*I7</f>
        <v>64.318844750355211</v>
      </c>
      <c r="M7" s="167">
        <f t="shared" ref="M7:M15" si="8">L7/(K7+L7)</f>
        <v>0.99108177460880198</v>
      </c>
      <c r="N7" s="168">
        <f t="shared" ref="N7:N15" si="9">L7/C$11</f>
        <v>0.93215717029500311</v>
      </c>
      <c r="P7" s="169"/>
      <c r="Q7" s="170">
        <f>L8/L15-1</f>
        <v>0.58262968855278596</v>
      </c>
      <c r="R7" s="171" t="s">
        <v>116</v>
      </c>
    </row>
    <row r="8" spans="2:18" ht="22" customHeight="1" thickBot="1" x14ac:dyDescent="0.3">
      <c r="E8" s="172" t="str">
        <f t="shared" si="0"/>
        <v>50' #6 CU</v>
      </c>
      <c r="F8" s="173">
        <f t="shared" si="1"/>
        <v>3.95E-2</v>
      </c>
      <c r="G8" s="174">
        <f t="shared" si="2"/>
        <v>4.5644983461962516</v>
      </c>
      <c r="H8" s="174">
        <f t="shared" si="3"/>
        <v>3.0233333333333334</v>
      </c>
      <c r="I8" s="175">
        <f t="shared" si="4"/>
        <v>2.9838333333333336</v>
      </c>
      <c r="J8" s="176">
        <f t="shared" si="5"/>
        <v>0.18029768467475193</v>
      </c>
      <c r="K8" s="177">
        <f t="shared" si="6"/>
        <v>0.82296848352091845</v>
      </c>
      <c r="L8" s="178">
        <f t="shared" si="7"/>
        <v>62.167108693987359</v>
      </c>
      <c r="M8" s="179">
        <f t="shared" si="8"/>
        <v>0.98693495038588752</v>
      </c>
      <c r="N8" s="180">
        <f t="shared" si="9"/>
        <v>0.90097258976793271</v>
      </c>
      <c r="P8" s="169"/>
      <c r="Q8" s="181">
        <f>170-34</f>
        <v>136</v>
      </c>
      <c r="R8" s="171" t="s">
        <v>117</v>
      </c>
    </row>
    <row r="9" spans="2:18" ht="22" customHeight="1" thickBot="1" x14ac:dyDescent="0.3">
      <c r="B9" s="135" t="s">
        <v>118</v>
      </c>
      <c r="C9" s="182">
        <v>12</v>
      </c>
      <c r="E9" s="88" t="str">
        <f t="shared" si="0"/>
        <v>25' #10 CU</v>
      </c>
      <c r="F9" s="183">
        <f t="shared" si="1"/>
        <v>5.2340499999999998E-2</v>
      </c>
      <c r="G9" s="184">
        <f t="shared" si="2"/>
        <v>4.4388167015303202</v>
      </c>
      <c r="H9" s="184">
        <f t="shared" si="3"/>
        <v>3.1089366666666662</v>
      </c>
      <c r="I9" s="105">
        <f t="shared" si="4"/>
        <v>3.0565961666666661</v>
      </c>
      <c r="J9" s="141">
        <f t="shared" si="5"/>
        <v>0.23232988556644771</v>
      </c>
      <c r="K9" s="185">
        <f t="shared" si="6"/>
        <v>1.0312697763169762</v>
      </c>
      <c r="L9" s="186">
        <f t="shared" si="7"/>
        <v>60.22440070480144</v>
      </c>
      <c r="M9" s="187">
        <f t="shared" si="8"/>
        <v>0.98316450104590958</v>
      </c>
      <c r="N9" s="188">
        <f t="shared" si="9"/>
        <v>0.87281740151886145</v>
      </c>
      <c r="P9" s="169"/>
      <c r="R9" s="171"/>
    </row>
    <row r="10" spans="2:18" ht="22" customHeight="1" thickBot="1" x14ac:dyDescent="0.3">
      <c r="B10" s="135" t="s">
        <v>119</v>
      </c>
      <c r="C10" s="189">
        <v>13.8</v>
      </c>
      <c r="E10" s="62" t="str">
        <f t="shared" si="0"/>
        <v>16' #10 CU</v>
      </c>
      <c r="F10" s="190">
        <f t="shared" si="1"/>
        <v>5.6436148148148152E-2</v>
      </c>
      <c r="G10" s="57">
        <f t="shared" si="2"/>
        <v>4.4001720704254277</v>
      </c>
      <c r="H10" s="57">
        <f t="shared" si="3"/>
        <v>3.1362409876543209</v>
      </c>
      <c r="I10" s="55">
        <f t="shared" si="4"/>
        <v>3.0798048395061728</v>
      </c>
      <c r="J10" s="56">
        <f t="shared" si="5"/>
        <v>0.24832876284387323</v>
      </c>
      <c r="K10" s="191">
        <f t="shared" si="6"/>
        <v>1.0926892865489106</v>
      </c>
      <c r="L10" s="109">
        <f t="shared" si="7"/>
        <v>59.629685285321997</v>
      </c>
      <c r="M10" s="192">
        <f t="shared" si="8"/>
        <v>0.98200516211276279</v>
      </c>
      <c r="N10" s="193">
        <f t="shared" si="9"/>
        <v>0.86419833746843477</v>
      </c>
      <c r="P10" s="169" t="s">
        <v>120</v>
      </c>
      <c r="Q10" s="113">
        <f>L11-L15</f>
        <v>14.732197541802911</v>
      </c>
      <c r="R10" s="171" t="s">
        <v>115</v>
      </c>
    </row>
    <row r="11" spans="2:18" ht="22" customHeight="1" thickBot="1" x14ac:dyDescent="0.3">
      <c r="B11" s="135" t="s">
        <v>104</v>
      </c>
      <c r="C11" s="148">
        <f>C10*C7</f>
        <v>69</v>
      </c>
      <c r="E11" s="194" t="str">
        <f t="shared" si="0"/>
        <v>100' #8(7) CU</v>
      </c>
      <c r="F11" s="195">
        <f t="shared" si="1"/>
        <v>9.9500000000000005E-2</v>
      </c>
      <c r="G11" s="196">
        <f t="shared" si="2"/>
        <v>4.0311587147030199</v>
      </c>
      <c r="H11" s="196">
        <f t="shared" si="3"/>
        <v>3.4233333333333325</v>
      </c>
      <c r="I11" s="197">
        <f t="shared" si="4"/>
        <v>3.3238333333333325</v>
      </c>
      <c r="J11" s="198">
        <f t="shared" si="5"/>
        <v>0.40110029211295051</v>
      </c>
      <c r="K11" s="199">
        <f t="shared" si="6"/>
        <v>1.6168989380210474</v>
      </c>
      <c r="L11" s="200">
        <f t="shared" si="7"/>
        <v>54.013091324880634</v>
      </c>
      <c r="M11" s="201">
        <f t="shared" si="8"/>
        <v>0.97093476144109059</v>
      </c>
      <c r="N11" s="202">
        <f t="shared" si="9"/>
        <v>0.78279842499827001</v>
      </c>
      <c r="P11" s="169"/>
      <c r="Q11" s="170">
        <f>L11/L15-1</f>
        <v>0.37504741167955724</v>
      </c>
      <c r="R11" s="171" t="s">
        <v>116</v>
      </c>
    </row>
    <row r="12" spans="2:18" ht="22" customHeight="1" thickBot="1" x14ac:dyDescent="0.3">
      <c r="B12" s="135" t="s">
        <v>121</v>
      </c>
      <c r="C12" s="203">
        <f>C10*(C10/C7)/C9-(C10/C7)</f>
        <v>0.41400000000000059</v>
      </c>
      <c r="E12" s="88" t="str">
        <f t="shared" si="0"/>
        <v>50' #10 CU</v>
      </c>
      <c r="F12" s="183">
        <f t="shared" si="1"/>
        <v>0.104681</v>
      </c>
      <c r="G12" s="184">
        <f t="shared" si="2"/>
        <v>3.9908922825397508</v>
      </c>
      <c r="H12" s="184">
        <f t="shared" si="3"/>
        <v>3.4578733333333327</v>
      </c>
      <c r="I12" s="105">
        <f t="shared" si="4"/>
        <v>3.3531923333333329</v>
      </c>
      <c r="J12" s="141">
        <f t="shared" si="5"/>
        <v>0.41777059502854363</v>
      </c>
      <c r="K12" s="185">
        <f t="shared" si="6"/>
        <v>1.6672774435714544</v>
      </c>
      <c r="L12" s="186">
        <f t="shared" si="7"/>
        <v>53.407036055477107</v>
      </c>
      <c r="M12" s="187">
        <f t="shared" si="8"/>
        <v>0.96972676847619244</v>
      </c>
      <c r="N12" s="188">
        <f t="shared" si="9"/>
        <v>0.77401501529676964</v>
      </c>
      <c r="P12" s="204"/>
      <c r="Q12" s="205">
        <f>107-34</f>
        <v>73</v>
      </c>
      <c r="R12" s="206" t="s">
        <v>117</v>
      </c>
    </row>
    <row r="13" spans="2:18" ht="21" customHeight="1" x14ac:dyDescent="0.25">
      <c r="B13" s="135"/>
      <c r="C13" s="7"/>
      <c r="E13" s="72" t="str">
        <f t="shared" si="0"/>
        <v>25' #10 CCA</v>
      </c>
      <c r="F13" s="207">
        <f t="shared" si="1"/>
        <v>0.135075</v>
      </c>
      <c r="G13" s="208">
        <f t="shared" si="2"/>
        <v>3.7699767791285357</v>
      </c>
      <c r="H13" s="208">
        <f t="shared" si="3"/>
        <v>3.660499999999999</v>
      </c>
      <c r="I13" s="209">
        <f t="shared" si="4"/>
        <v>3.5254249999999989</v>
      </c>
      <c r="J13" s="210">
        <f t="shared" si="5"/>
        <v>0.50922961344078699</v>
      </c>
      <c r="K13" s="211">
        <f t="shared" si="6"/>
        <v>1.9197838179163673</v>
      </c>
      <c r="L13" s="212">
        <f t="shared" si="7"/>
        <v>50.105895734057427</v>
      </c>
      <c r="M13" s="213">
        <f t="shared" si="8"/>
        <v>0.96309930337385596</v>
      </c>
      <c r="N13" s="214">
        <f t="shared" si="9"/>
        <v>0.72617240194286126</v>
      </c>
    </row>
    <row r="14" spans="2:18" ht="21" customHeight="1" x14ac:dyDescent="0.25">
      <c r="B14" s="135"/>
      <c r="C14" s="7"/>
      <c r="E14" s="88" t="str">
        <f t="shared" si="0"/>
        <v>100' #10 CU</v>
      </c>
      <c r="F14" s="183">
        <f t="shared" si="1"/>
        <v>0.20936199999999999</v>
      </c>
      <c r="G14" s="184">
        <f t="shared" si="2"/>
        <v>3.3207028981554876</v>
      </c>
      <c r="H14" s="184">
        <f t="shared" si="3"/>
        <v>4.1557466666666647</v>
      </c>
      <c r="I14" s="105">
        <f t="shared" si="4"/>
        <v>3.9463846666666647</v>
      </c>
      <c r="J14" s="141">
        <f t="shared" si="5"/>
        <v>0.69522900016362921</v>
      </c>
      <c r="K14" s="185">
        <f t="shared" si="6"/>
        <v>2.3086489557251055</v>
      </c>
      <c r="L14" s="186">
        <f t="shared" si="7"/>
        <v>43.517051038820625</v>
      </c>
      <c r="M14" s="187">
        <f t="shared" si="8"/>
        <v>0.94962108694466463</v>
      </c>
      <c r="N14" s="188">
        <f t="shared" si="9"/>
        <v>0.63068189911334238</v>
      </c>
    </row>
    <row r="15" spans="2:18" ht="22" customHeight="1" thickBot="1" x14ac:dyDescent="0.3">
      <c r="E15" s="215" t="str">
        <f t="shared" si="0"/>
        <v>50' #10 CCA</v>
      </c>
      <c r="F15" s="216">
        <f t="shared" si="1"/>
        <v>0.27015</v>
      </c>
      <c r="G15" s="217">
        <f t="shared" si="2"/>
        <v>3.0256522692392034</v>
      </c>
      <c r="H15" s="217">
        <f t="shared" si="3"/>
        <v>4.5609999999999982</v>
      </c>
      <c r="I15" s="218">
        <f t="shared" si="4"/>
        <v>4.2908499999999981</v>
      </c>
      <c r="J15" s="219">
        <f t="shared" si="5"/>
        <v>0.81737996053497075</v>
      </c>
      <c r="K15" s="220">
        <f t="shared" si="6"/>
        <v>2.4731075324232847</v>
      </c>
      <c r="L15" s="221">
        <f t="shared" si="7"/>
        <v>39.280893783077723</v>
      </c>
      <c r="M15" s="222">
        <f t="shared" si="8"/>
        <v>0.94076956807717604</v>
      </c>
      <c r="N15" s="223">
        <f t="shared" si="9"/>
        <v>0.56928831569677862</v>
      </c>
    </row>
    <row r="16" spans="2:18" ht="22" customHeight="1" thickBot="1" x14ac:dyDescent="0.3">
      <c r="B16" s="130"/>
      <c r="C16" s="130"/>
      <c r="D16" s="130"/>
      <c r="E16" s="130"/>
      <c r="F16" s="130"/>
      <c r="G16" s="130"/>
      <c r="H16" s="130"/>
      <c r="I16" s="130"/>
      <c r="J16" s="130"/>
      <c r="K16" s="130"/>
      <c r="L16" s="130"/>
      <c r="M16" s="130"/>
      <c r="N16" s="130"/>
      <c r="O16" s="130"/>
    </row>
    <row r="17" spans="2:18" ht="22" customHeight="1" thickTop="1" x14ac:dyDescent="0.25"/>
    <row r="18" spans="2:18" ht="22" customHeight="1" thickBot="1" x14ac:dyDescent="0.3">
      <c r="E18" s="131"/>
      <c r="F18" s="89" t="s">
        <v>93</v>
      </c>
      <c r="G18" s="89" t="s">
        <v>110</v>
      </c>
      <c r="H18" s="89" t="s">
        <v>24</v>
      </c>
      <c r="I18" s="89" t="s">
        <v>111</v>
      </c>
      <c r="J18" s="89" t="s">
        <v>25</v>
      </c>
      <c r="K18" s="89" t="s">
        <v>25</v>
      </c>
      <c r="L18" s="89" t="s">
        <v>94</v>
      </c>
      <c r="M18" s="89" t="s">
        <v>98</v>
      </c>
      <c r="N18" s="89" t="s">
        <v>112</v>
      </c>
    </row>
    <row r="19" spans="2:18" ht="22" customHeight="1" thickBot="1" x14ac:dyDescent="0.3">
      <c r="C19" s="7" t="s">
        <v>122</v>
      </c>
      <c r="E19" s="158" t="s">
        <v>97</v>
      </c>
      <c r="F19" s="134" t="s">
        <v>35</v>
      </c>
      <c r="G19" s="134" t="s">
        <v>36</v>
      </c>
      <c r="H19" s="134" t="s">
        <v>35</v>
      </c>
      <c r="I19" s="134" t="s">
        <v>35</v>
      </c>
      <c r="J19" s="134" t="s">
        <v>37</v>
      </c>
      <c r="K19" s="134" t="s">
        <v>38</v>
      </c>
      <c r="L19" s="134" t="s">
        <v>38</v>
      </c>
      <c r="M19" s="134" t="s">
        <v>27</v>
      </c>
      <c r="N19" s="134" t="s">
        <v>98</v>
      </c>
      <c r="P19" s="159" t="s">
        <v>114</v>
      </c>
      <c r="Q19" s="160">
        <f>L21-L28</f>
        <v>92.522913925051697</v>
      </c>
      <c r="R19" s="161" t="s">
        <v>115</v>
      </c>
    </row>
    <row r="20" spans="2:18" ht="22" customHeight="1" thickBot="1" x14ac:dyDescent="0.3">
      <c r="B20" s="135" t="s">
        <v>101</v>
      </c>
      <c r="C20" s="136">
        <v>15</v>
      </c>
      <c r="E20" s="88" t="str">
        <f t="shared" ref="E20:E28" si="10">INDEX(distline_choices,ROW(E20)-ROW(E$19))</f>
        <v>12.5' #10 CU</v>
      </c>
      <c r="F20" s="162">
        <f t="shared" ref="F20:F28" si="11">VLOOKUP(E20,distline_table,6,FALSE)</f>
        <v>2.6170249999999999E-2</v>
      </c>
      <c r="G20" s="163">
        <f t="shared" ref="G20:G28" si="12">(1-(F20/(F20+C$25)))*C$20</f>
        <v>12.608861837025891</v>
      </c>
      <c r="H20" s="163">
        <f t="shared" ref="H20:H28" si="13">C$23/G20</f>
        <v>1.0944683333333334</v>
      </c>
      <c r="I20" s="99">
        <f t="shared" ref="I20:I28" si="14">H20-F20</f>
        <v>1.0682980833333333</v>
      </c>
      <c r="J20" s="164">
        <f t="shared" ref="J20:J28" si="15">G20*F20</f>
        <v>0.3299770664904268</v>
      </c>
      <c r="K20" s="165">
        <f t="shared" ref="K20:K28" si="16">J20*G20</f>
        <v>4.1606352407648979</v>
      </c>
      <c r="L20" s="166">
        <f t="shared" ref="L20:L28" si="17">G20*G20*I20</f>
        <v>169.84165811019238</v>
      </c>
      <c r="M20" s="167">
        <f t="shared" ref="M20:M28" si="18">L20/(K20+L20)</f>
        <v>0.97608861837025895</v>
      </c>
      <c r="N20" s="168">
        <f t="shared" ref="N20:N28" si="19">L20/C$24</f>
        <v>0.82049110198160569</v>
      </c>
      <c r="P20" s="169"/>
      <c r="Q20" s="170">
        <f>L21/L28-1</f>
        <v>1.4676803541275514</v>
      </c>
      <c r="R20" s="171" t="s">
        <v>116</v>
      </c>
    </row>
    <row r="21" spans="2:18" ht="22" customHeight="1" thickBot="1" x14ac:dyDescent="0.3">
      <c r="E21" s="172" t="str">
        <f t="shared" si="10"/>
        <v>50' #6 CU</v>
      </c>
      <c r="F21" s="173">
        <f t="shared" si="11"/>
        <v>3.95E-2</v>
      </c>
      <c r="G21" s="174">
        <f t="shared" si="12"/>
        <v>11.661971830985916</v>
      </c>
      <c r="H21" s="174">
        <f t="shared" si="13"/>
        <v>1.1833333333333333</v>
      </c>
      <c r="I21" s="175">
        <f t="shared" si="14"/>
        <v>1.1438333333333333</v>
      </c>
      <c r="J21" s="176">
        <f t="shared" si="15"/>
        <v>0.46064788732394368</v>
      </c>
      <c r="K21" s="177">
        <f t="shared" si="16"/>
        <v>5.3720626859750054</v>
      </c>
      <c r="L21" s="178">
        <f t="shared" si="17"/>
        <v>155.56314858163063</v>
      </c>
      <c r="M21" s="179">
        <f t="shared" si="18"/>
        <v>0.96661971830985915</v>
      </c>
      <c r="N21" s="180">
        <f t="shared" si="19"/>
        <v>0.75151279508034119</v>
      </c>
      <c r="P21" s="169"/>
      <c r="Q21" s="181">
        <f>170-34</f>
        <v>136</v>
      </c>
      <c r="R21" s="171" t="s">
        <v>117</v>
      </c>
    </row>
    <row r="22" spans="2:18" ht="22" customHeight="1" thickBot="1" x14ac:dyDescent="0.3">
      <c r="B22" s="135" t="s">
        <v>118</v>
      </c>
      <c r="C22" s="182">
        <v>12</v>
      </c>
      <c r="E22" s="88" t="str">
        <f t="shared" si="10"/>
        <v>25' #10 CU</v>
      </c>
      <c r="F22" s="183">
        <f t="shared" si="11"/>
        <v>5.2340499999999998E-2</v>
      </c>
      <c r="G22" s="184">
        <f t="shared" si="12"/>
        <v>10.875247254262755</v>
      </c>
      <c r="H22" s="184">
        <f t="shared" si="13"/>
        <v>1.2689366666666668</v>
      </c>
      <c r="I22" s="105">
        <f t="shared" si="14"/>
        <v>1.2165961666666669</v>
      </c>
      <c r="J22" s="141">
        <f t="shared" si="15"/>
        <v>0.56921587891173975</v>
      </c>
      <c r="K22" s="185">
        <f t="shared" si="16"/>
        <v>6.190363424217658</v>
      </c>
      <c r="L22" s="186">
        <f t="shared" si="17"/>
        <v>143.88804868460838</v>
      </c>
      <c r="M22" s="187">
        <f t="shared" si="18"/>
        <v>0.95875247254262763</v>
      </c>
      <c r="N22" s="188">
        <f t="shared" si="19"/>
        <v>0.69511134630245597</v>
      </c>
      <c r="P22" s="169"/>
      <c r="R22" s="171"/>
    </row>
    <row r="23" spans="2:18" ht="22" customHeight="1" thickBot="1" x14ac:dyDescent="0.3">
      <c r="B23" s="135" t="s">
        <v>119</v>
      </c>
      <c r="C23" s="189">
        <v>13.8</v>
      </c>
      <c r="E23" s="62" t="str">
        <f t="shared" si="10"/>
        <v>16' #10 CU</v>
      </c>
      <c r="F23" s="190">
        <f t="shared" si="11"/>
        <v>5.6436148148148152E-2</v>
      </c>
      <c r="G23" s="57">
        <f t="shared" si="12"/>
        <v>10.6461685222379</v>
      </c>
      <c r="H23" s="57">
        <f t="shared" si="13"/>
        <v>1.2962409876543211</v>
      </c>
      <c r="I23" s="55">
        <f t="shared" si="14"/>
        <v>1.2398048395061729</v>
      </c>
      <c r="J23" s="56">
        <f t="shared" si="15"/>
        <v>0.60082874393116958</v>
      </c>
      <c r="K23" s="191">
        <f t="shared" si="16"/>
        <v>6.3965240608957536</v>
      </c>
      <c r="L23" s="109">
        <f t="shared" si="17"/>
        <v>140.52060154598729</v>
      </c>
      <c r="M23" s="192">
        <f t="shared" si="18"/>
        <v>0.95646168522237895</v>
      </c>
      <c r="N23" s="193">
        <f t="shared" si="19"/>
        <v>0.67884348572940723</v>
      </c>
      <c r="P23" s="169" t="s">
        <v>120</v>
      </c>
      <c r="Q23" s="113">
        <f>L24-L28</f>
        <v>49.679143958379527</v>
      </c>
      <c r="R23" s="171" t="s">
        <v>115</v>
      </c>
    </row>
    <row r="24" spans="2:18" ht="22" customHeight="1" thickBot="1" x14ac:dyDescent="0.3">
      <c r="B24" s="135" t="s">
        <v>104</v>
      </c>
      <c r="C24" s="148">
        <f>C23*C20</f>
        <v>207</v>
      </c>
      <c r="E24" s="194" t="str">
        <f t="shared" si="10"/>
        <v>100' #8(7) CU</v>
      </c>
      <c r="F24" s="224">
        <f t="shared" si="11"/>
        <v>9.9500000000000005E-2</v>
      </c>
      <c r="G24" s="225">
        <f t="shared" si="12"/>
        <v>8.715789473684211</v>
      </c>
      <c r="H24" s="225">
        <f t="shared" si="13"/>
        <v>1.5833333333333333</v>
      </c>
      <c r="I24" s="226">
        <f t="shared" si="14"/>
        <v>1.4838333333333333</v>
      </c>
      <c r="J24" s="198">
        <f t="shared" si="15"/>
        <v>0.867221052631579</v>
      </c>
      <c r="K24" s="199">
        <f t="shared" si="16"/>
        <v>7.558516121883657</v>
      </c>
      <c r="L24" s="200">
        <f t="shared" si="17"/>
        <v>112.71937861495846</v>
      </c>
      <c r="M24" s="201">
        <f t="shared" si="18"/>
        <v>0.93715789473684208</v>
      </c>
      <c r="N24" s="202">
        <f t="shared" si="19"/>
        <v>0.54453806094182833</v>
      </c>
      <c r="P24" s="169"/>
      <c r="Q24" s="170">
        <f>L24/L28-1</f>
        <v>0.78805455323911877</v>
      </c>
      <c r="R24" s="171" t="s">
        <v>116</v>
      </c>
    </row>
    <row r="25" spans="2:18" ht="22" customHeight="1" thickBot="1" x14ac:dyDescent="0.3">
      <c r="B25" s="135" t="s">
        <v>121</v>
      </c>
      <c r="C25" s="203">
        <f>C23*(C23/C20)/C22-(C23/C20)</f>
        <v>0.13800000000000001</v>
      </c>
      <c r="E25" s="88" t="str">
        <f t="shared" si="10"/>
        <v>50' #10 CU</v>
      </c>
      <c r="F25" s="183">
        <f t="shared" si="11"/>
        <v>0.104681</v>
      </c>
      <c r="G25" s="184">
        <f t="shared" si="12"/>
        <v>8.529715964579017</v>
      </c>
      <c r="H25" s="184">
        <f t="shared" si="13"/>
        <v>1.6178733333333331</v>
      </c>
      <c r="I25" s="105">
        <f t="shared" si="14"/>
        <v>1.513192333333333</v>
      </c>
      <c r="J25" s="141">
        <f t="shared" si="15"/>
        <v>0.89289919688809605</v>
      </c>
      <c r="K25" s="185">
        <f t="shared" si="16"/>
        <v>7.6161765344561756</v>
      </c>
      <c r="L25" s="186">
        <f t="shared" si="17"/>
        <v>110.09390377673427</v>
      </c>
      <c r="M25" s="187">
        <f t="shared" si="18"/>
        <v>0.93529715964579019</v>
      </c>
      <c r="N25" s="188">
        <f t="shared" si="19"/>
        <v>0.5318546076170737</v>
      </c>
      <c r="P25" s="204"/>
      <c r="Q25" s="205">
        <f>107-34</f>
        <v>73</v>
      </c>
      <c r="R25" s="206" t="s">
        <v>117</v>
      </c>
    </row>
    <row r="26" spans="2:18" ht="21" customHeight="1" x14ac:dyDescent="0.25">
      <c r="B26" s="135"/>
      <c r="C26" s="7"/>
      <c r="E26" s="72" t="str">
        <f t="shared" si="10"/>
        <v>25' #10 CCA</v>
      </c>
      <c r="F26" s="207">
        <f t="shared" si="11"/>
        <v>0.135075</v>
      </c>
      <c r="G26" s="208">
        <f t="shared" si="12"/>
        <v>7.5803350727822032</v>
      </c>
      <c r="H26" s="208">
        <f t="shared" si="13"/>
        <v>1.8205</v>
      </c>
      <c r="I26" s="209">
        <f t="shared" si="14"/>
        <v>1.685425</v>
      </c>
      <c r="J26" s="210">
        <f t="shared" si="15"/>
        <v>1.0239137599560562</v>
      </c>
      <c r="K26" s="211">
        <f t="shared" si="16"/>
        <v>7.7616093860991899</v>
      </c>
      <c r="L26" s="212">
        <f t="shared" si="17"/>
        <v>96.847014618295219</v>
      </c>
      <c r="M26" s="213">
        <f t="shared" si="18"/>
        <v>0.92580335072782194</v>
      </c>
      <c r="N26" s="214">
        <f t="shared" si="19"/>
        <v>0.4678599740014262</v>
      </c>
    </row>
    <row r="27" spans="2:18" ht="21" customHeight="1" x14ac:dyDescent="0.25">
      <c r="B27" s="135"/>
      <c r="C27" s="7"/>
      <c r="E27" s="88" t="str">
        <f t="shared" si="10"/>
        <v>100' #10 CU</v>
      </c>
      <c r="F27" s="183">
        <f t="shared" si="11"/>
        <v>0.20936199999999999</v>
      </c>
      <c r="G27" s="184">
        <f t="shared" si="12"/>
        <v>5.9592010640196689</v>
      </c>
      <c r="H27" s="184">
        <f t="shared" si="13"/>
        <v>2.3157466666666666</v>
      </c>
      <c r="I27" s="105">
        <f t="shared" si="14"/>
        <v>2.1063846666666666</v>
      </c>
      <c r="J27" s="141">
        <f t="shared" si="15"/>
        <v>1.2476302531652859</v>
      </c>
      <c r="K27" s="185">
        <f t="shared" si="16"/>
        <v>7.4348795321657004</v>
      </c>
      <c r="L27" s="186">
        <f t="shared" si="17"/>
        <v>74.802095151305735</v>
      </c>
      <c r="M27" s="187">
        <f t="shared" si="18"/>
        <v>0.90959201064019679</v>
      </c>
      <c r="N27" s="188">
        <f t="shared" si="19"/>
        <v>0.36136277850872334</v>
      </c>
    </row>
    <row r="28" spans="2:18" ht="22" customHeight="1" thickBot="1" x14ac:dyDescent="0.3">
      <c r="E28" s="215" t="str">
        <f t="shared" si="10"/>
        <v>50' #10 CCA</v>
      </c>
      <c r="F28" s="216">
        <f t="shared" si="11"/>
        <v>0.27015</v>
      </c>
      <c r="G28" s="217">
        <f t="shared" si="12"/>
        <v>5.0716648291069459</v>
      </c>
      <c r="H28" s="217">
        <f t="shared" si="13"/>
        <v>2.7210000000000001</v>
      </c>
      <c r="I28" s="218">
        <f t="shared" si="14"/>
        <v>2.45085</v>
      </c>
      <c r="J28" s="219">
        <f t="shared" si="15"/>
        <v>1.3701102535832415</v>
      </c>
      <c r="K28" s="220">
        <f t="shared" si="16"/>
        <v>6.9487399850969247</v>
      </c>
      <c r="L28" s="221">
        <f t="shared" si="17"/>
        <v>63.040234656578932</v>
      </c>
      <c r="M28" s="222">
        <f t="shared" si="18"/>
        <v>0.90071664829106945</v>
      </c>
      <c r="N28" s="223">
        <f t="shared" si="19"/>
        <v>0.30454219640859387</v>
      </c>
    </row>
    <row r="29" spans="2:18" ht="22" customHeight="1" thickBot="1" x14ac:dyDescent="0.3">
      <c r="B29" s="130"/>
      <c r="C29" s="130"/>
      <c r="D29" s="130"/>
      <c r="E29" s="130"/>
      <c r="F29" s="130"/>
      <c r="G29" s="130"/>
      <c r="H29" s="130"/>
      <c r="I29" s="130"/>
      <c r="J29" s="130"/>
      <c r="K29" s="130"/>
      <c r="L29" s="130"/>
      <c r="M29" s="130"/>
      <c r="N29" s="130"/>
      <c r="O29" s="130"/>
    </row>
    <row r="30" spans="2:18" ht="22" customHeight="1" thickTop="1" x14ac:dyDescent="0.25"/>
    <row r="31" spans="2:18" ht="22" customHeight="1" thickBot="1" x14ac:dyDescent="0.3">
      <c r="E31" s="131"/>
      <c r="F31" s="89" t="s">
        <v>93</v>
      </c>
      <c r="G31" s="89" t="s">
        <v>110</v>
      </c>
      <c r="H31" s="89" t="s">
        <v>24</v>
      </c>
      <c r="I31" s="89" t="s">
        <v>111</v>
      </c>
      <c r="J31" s="89" t="s">
        <v>25</v>
      </c>
      <c r="K31" s="89" t="s">
        <v>25</v>
      </c>
      <c r="L31" s="89" t="s">
        <v>94</v>
      </c>
      <c r="M31" s="89" t="s">
        <v>98</v>
      </c>
      <c r="N31" s="89" t="s">
        <v>112</v>
      </c>
    </row>
    <row r="32" spans="2:18" ht="22" customHeight="1" thickBot="1" x14ac:dyDescent="0.3">
      <c r="C32" s="7" t="s">
        <v>123</v>
      </c>
      <c r="E32" s="158" t="s">
        <v>97</v>
      </c>
      <c r="F32" s="134" t="s">
        <v>35</v>
      </c>
      <c r="G32" s="134" t="s">
        <v>36</v>
      </c>
      <c r="H32" s="134" t="s">
        <v>35</v>
      </c>
      <c r="I32" s="134" t="s">
        <v>35</v>
      </c>
      <c r="J32" s="134" t="s">
        <v>37</v>
      </c>
      <c r="K32" s="134" t="s">
        <v>38</v>
      </c>
      <c r="L32" s="134" t="s">
        <v>38</v>
      </c>
      <c r="M32" s="134" t="s">
        <v>27</v>
      </c>
      <c r="N32" s="134" t="s">
        <v>98</v>
      </c>
      <c r="P32" s="159" t="s">
        <v>114</v>
      </c>
      <c r="Q32" s="160">
        <f>L34-L41</f>
        <v>174.73935662656436</v>
      </c>
      <c r="R32" s="161" t="s">
        <v>115</v>
      </c>
    </row>
    <row r="33" spans="2:18" ht="22" customHeight="1" thickBot="1" x14ac:dyDescent="0.3">
      <c r="B33" s="135" t="s">
        <v>101</v>
      </c>
      <c r="C33" s="136">
        <v>30</v>
      </c>
      <c r="E33" s="88" t="str">
        <f t="shared" ref="E33:E41" si="20">INDEX(distline_choices,ROW(E33)-ROW(E$32))</f>
        <v>12.5' #10 CU</v>
      </c>
      <c r="F33" s="162">
        <f t="shared" ref="F33:F41" si="21">VLOOKUP(E33,distline_table,6,FALSE)</f>
        <v>2.6170249999999999E-2</v>
      </c>
      <c r="G33" s="163">
        <f t="shared" ref="G33:G41" si="22">(1-(F33/(F33+C$38)))*C$33</f>
        <v>21.750494508525509</v>
      </c>
      <c r="H33" s="163">
        <f t="shared" ref="H33:H41" si="23">C$36/G33</f>
        <v>0.63446833333333341</v>
      </c>
      <c r="I33" s="99">
        <f t="shared" ref="I33:I41" si="24">H33-F33</f>
        <v>0.60829808333333346</v>
      </c>
      <c r="J33" s="164">
        <f t="shared" ref="J33:J41" si="25">G33*F33</f>
        <v>0.56921587891173975</v>
      </c>
      <c r="K33" s="165">
        <f t="shared" ref="K33:K41" si="26">J33*G33</f>
        <v>12.380726848435316</v>
      </c>
      <c r="L33" s="166">
        <f t="shared" ref="L33:L41" si="27">G33*G33*I33</f>
        <v>287.77609736921676</v>
      </c>
      <c r="M33" s="167">
        <f t="shared" ref="M33:M41" si="28">L33/(K33+L33)</f>
        <v>0.95875247254262763</v>
      </c>
      <c r="N33" s="168">
        <f t="shared" ref="N33:N41" si="29">L33/C$37</f>
        <v>0.69511134630245597</v>
      </c>
      <c r="P33" s="169"/>
      <c r="Q33" s="170">
        <f>L34/L41-1</f>
        <v>2.3561077334633209</v>
      </c>
      <c r="R33" s="171" t="s">
        <v>116</v>
      </c>
    </row>
    <row r="34" spans="2:18" ht="22" customHeight="1" thickBot="1" x14ac:dyDescent="0.3">
      <c r="E34" s="172" t="str">
        <f t="shared" si="20"/>
        <v>50' #6 CU</v>
      </c>
      <c r="F34" s="173">
        <f t="shared" si="21"/>
        <v>3.95E-2</v>
      </c>
      <c r="G34" s="174">
        <f t="shared" si="22"/>
        <v>19.078341013824886</v>
      </c>
      <c r="H34" s="174">
        <f t="shared" si="23"/>
        <v>0.72333333333333327</v>
      </c>
      <c r="I34" s="175">
        <f t="shared" si="24"/>
        <v>0.68383333333333329</v>
      </c>
      <c r="J34" s="176">
        <f t="shared" si="25"/>
        <v>0.75359447004608304</v>
      </c>
      <c r="K34" s="177">
        <f t="shared" si="26"/>
        <v>14.377332285671816</v>
      </c>
      <c r="L34" s="178">
        <f t="shared" si="27"/>
        <v>248.9037737051116</v>
      </c>
      <c r="M34" s="179">
        <f t="shared" si="28"/>
        <v>0.9453917050691244</v>
      </c>
      <c r="N34" s="180">
        <f t="shared" si="29"/>
        <v>0.60121684469833725</v>
      </c>
      <c r="P34" s="169"/>
      <c r="Q34" s="181">
        <f>170-34</f>
        <v>136</v>
      </c>
      <c r="R34" s="171" t="s">
        <v>117</v>
      </c>
    </row>
    <row r="35" spans="2:18" ht="22" customHeight="1" thickBot="1" x14ac:dyDescent="0.3">
      <c r="B35" s="135" t="s">
        <v>118</v>
      </c>
      <c r="C35" s="182">
        <v>12</v>
      </c>
      <c r="E35" s="88" t="str">
        <f t="shared" si="20"/>
        <v>25' #10 CU</v>
      </c>
      <c r="F35" s="183">
        <f t="shared" si="21"/>
        <v>5.2340499999999998E-2</v>
      </c>
      <c r="G35" s="184">
        <f t="shared" si="22"/>
        <v>17.059431929158034</v>
      </c>
      <c r="H35" s="184">
        <f t="shared" si="23"/>
        <v>0.80893666666666653</v>
      </c>
      <c r="I35" s="105">
        <f t="shared" si="24"/>
        <v>0.75659616666666651</v>
      </c>
      <c r="J35" s="141">
        <f t="shared" si="25"/>
        <v>0.89289919688809605</v>
      </c>
      <c r="K35" s="185">
        <f t="shared" si="26"/>
        <v>15.232353068912351</v>
      </c>
      <c r="L35" s="186">
        <f t="shared" si="27"/>
        <v>220.18780755346853</v>
      </c>
      <c r="M35" s="187">
        <f t="shared" si="28"/>
        <v>0.93529715964579019</v>
      </c>
      <c r="N35" s="188">
        <f t="shared" si="29"/>
        <v>0.5318546076170737</v>
      </c>
      <c r="P35" s="169"/>
      <c r="R35" s="171"/>
    </row>
    <row r="36" spans="2:18" ht="22" customHeight="1" thickBot="1" x14ac:dyDescent="0.3">
      <c r="B36" s="135" t="s">
        <v>119</v>
      </c>
      <c r="C36" s="189">
        <v>13.8</v>
      </c>
      <c r="E36" s="62" t="str">
        <f t="shared" si="20"/>
        <v>16' #10 CU</v>
      </c>
      <c r="F36" s="190">
        <f t="shared" si="21"/>
        <v>5.6436148148148152E-2</v>
      </c>
      <c r="G36" s="57">
        <f t="shared" si="22"/>
        <v>16.502420000614155</v>
      </c>
      <c r="H36" s="57">
        <f t="shared" si="23"/>
        <v>0.83624098765432098</v>
      </c>
      <c r="I36" s="55">
        <f t="shared" si="24"/>
        <v>0.77980483950617285</v>
      </c>
      <c r="J36" s="56">
        <f t="shared" si="25"/>
        <v>0.93133301995762352</v>
      </c>
      <c r="K36" s="191">
        <f t="shared" si="26"/>
        <v>15.369248655781067</v>
      </c>
      <c r="L36" s="109">
        <f t="shared" si="27"/>
        <v>212.36414735269426</v>
      </c>
      <c r="M36" s="192">
        <f t="shared" si="28"/>
        <v>0.93251210000307072</v>
      </c>
      <c r="N36" s="193">
        <f t="shared" si="29"/>
        <v>0.51295687766351272</v>
      </c>
      <c r="P36" s="169" t="s">
        <v>120</v>
      </c>
      <c r="Q36" s="113">
        <f>L37-L41</f>
        <v>80.350404747831448</v>
      </c>
      <c r="R36" s="171" t="s">
        <v>115</v>
      </c>
    </row>
    <row r="37" spans="2:18" ht="22" customHeight="1" thickBot="1" x14ac:dyDescent="0.3">
      <c r="B37" s="135" t="s">
        <v>104</v>
      </c>
      <c r="C37" s="148">
        <f>C36*C33</f>
        <v>414</v>
      </c>
      <c r="E37" s="194" t="str">
        <f t="shared" si="20"/>
        <v>100' #8(7) CU</v>
      </c>
      <c r="F37" s="224">
        <f t="shared" si="21"/>
        <v>9.9500000000000005E-2</v>
      </c>
      <c r="G37" s="225">
        <f t="shared" si="22"/>
        <v>12.284866468842731</v>
      </c>
      <c r="H37" s="225">
        <f t="shared" si="23"/>
        <v>1.1233333333333333</v>
      </c>
      <c r="I37" s="226">
        <f t="shared" si="24"/>
        <v>1.0238333333333334</v>
      </c>
      <c r="J37" s="198">
        <f t="shared" si="25"/>
        <v>1.2223442136498517</v>
      </c>
      <c r="K37" s="199">
        <f t="shared" si="26"/>
        <v>15.016335443650998</v>
      </c>
      <c r="L37" s="200">
        <f t="shared" si="27"/>
        <v>154.51482182637869</v>
      </c>
      <c r="M37" s="201">
        <f t="shared" si="28"/>
        <v>0.91142433234421361</v>
      </c>
      <c r="N37" s="202">
        <f t="shared" si="29"/>
        <v>0.37322420731009348</v>
      </c>
      <c r="P37" s="169"/>
      <c r="Q37" s="170">
        <f>L37/L41-1</f>
        <v>1.0834091052415693</v>
      </c>
      <c r="R37" s="171" t="s">
        <v>116</v>
      </c>
    </row>
    <row r="38" spans="2:18" ht="22" customHeight="1" thickBot="1" x14ac:dyDescent="0.3">
      <c r="B38" s="135" t="s">
        <v>121</v>
      </c>
      <c r="C38" s="203">
        <f>C36*(C36/C33)/C35-(C36/C33)</f>
        <v>6.9000000000000006E-2</v>
      </c>
      <c r="E38" s="88" t="str">
        <f t="shared" si="20"/>
        <v>50' #10 CU</v>
      </c>
      <c r="F38" s="183">
        <f t="shared" si="21"/>
        <v>0.104681</v>
      </c>
      <c r="G38" s="184">
        <f t="shared" si="22"/>
        <v>11.918402128039338</v>
      </c>
      <c r="H38" s="184">
        <f t="shared" si="23"/>
        <v>1.1578733333333333</v>
      </c>
      <c r="I38" s="105">
        <f t="shared" si="24"/>
        <v>1.0531923333333333</v>
      </c>
      <c r="J38" s="141">
        <f t="shared" si="25"/>
        <v>1.2476302531652859</v>
      </c>
      <c r="K38" s="185">
        <f t="shared" si="26"/>
        <v>14.869759064331401</v>
      </c>
      <c r="L38" s="186">
        <f t="shared" si="27"/>
        <v>149.60419030261147</v>
      </c>
      <c r="M38" s="187">
        <f t="shared" si="28"/>
        <v>0.90959201064019679</v>
      </c>
      <c r="N38" s="188">
        <f t="shared" si="29"/>
        <v>0.36136277850872334</v>
      </c>
      <c r="P38" s="204"/>
      <c r="Q38" s="205">
        <f>107-34</f>
        <v>73</v>
      </c>
      <c r="R38" s="206" t="s">
        <v>117</v>
      </c>
    </row>
    <row r="39" spans="2:18" ht="21" customHeight="1" x14ac:dyDescent="0.25">
      <c r="B39" s="135"/>
      <c r="C39" s="7"/>
      <c r="E39" s="72" t="str">
        <f t="shared" si="20"/>
        <v>25' #10 CCA</v>
      </c>
      <c r="F39" s="207">
        <f t="shared" si="21"/>
        <v>0.135075</v>
      </c>
      <c r="G39" s="208">
        <f t="shared" si="22"/>
        <v>10.143329658213892</v>
      </c>
      <c r="H39" s="208">
        <f t="shared" si="23"/>
        <v>1.3605</v>
      </c>
      <c r="I39" s="209">
        <f t="shared" si="24"/>
        <v>1.225425</v>
      </c>
      <c r="J39" s="210">
        <f t="shared" si="25"/>
        <v>1.3701102535832415</v>
      </c>
      <c r="K39" s="211">
        <f t="shared" si="26"/>
        <v>13.897479970193849</v>
      </c>
      <c r="L39" s="212">
        <f t="shared" si="27"/>
        <v>126.08046931315786</v>
      </c>
      <c r="M39" s="213">
        <f t="shared" si="28"/>
        <v>0.90071664829106945</v>
      </c>
      <c r="N39" s="214">
        <f t="shared" si="29"/>
        <v>0.30454219640859387</v>
      </c>
    </row>
    <row r="40" spans="2:18" ht="21" customHeight="1" x14ac:dyDescent="0.25">
      <c r="B40" s="135"/>
      <c r="C40" s="7"/>
      <c r="E40" s="88" t="str">
        <f t="shared" si="20"/>
        <v>100' #10 CU</v>
      </c>
      <c r="F40" s="183">
        <f t="shared" si="21"/>
        <v>0.20936199999999999</v>
      </c>
      <c r="G40" s="184">
        <f t="shared" si="22"/>
        <v>7.4363598479677542</v>
      </c>
      <c r="H40" s="184">
        <f t="shared" si="23"/>
        <v>1.8557466666666669</v>
      </c>
      <c r="I40" s="105">
        <f t="shared" si="24"/>
        <v>1.6463846666666668</v>
      </c>
      <c r="J40" s="141">
        <f t="shared" si="25"/>
        <v>1.5568911704902249</v>
      </c>
      <c r="K40" s="185">
        <f t="shared" si="26"/>
        <v>11.577602987889028</v>
      </c>
      <c r="L40" s="186">
        <f t="shared" si="27"/>
        <v>91.044162914065993</v>
      </c>
      <c r="M40" s="187">
        <f t="shared" si="28"/>
        <v>0.88718179923983886</v>
      </c>
      <c r="N40" s="188">
        <f t="shared" si="29"/>
        <v>0.21991343699049756</v>
      </c>
    </row>
    <row r="41" spans="2:18" ht="22" customHeight="1" thickBot="1" x14ac:dyDescent="0.3">
      <c r="E41" s="215" t="str">
        <f t="shared" si="20"/>
        <v>50' #10 CCA</v>
      </c>
      <c r="F41" s="216">
        <f t="shared" si="21"/>
        <v>0.27015</v>
      </c>
      <c r="G41" s="217">
        <f t="shared" si="22"/>
        <v>6.1034940291906237</v>
      </c>
      <c r="H41" s="217">
        <f t="shared" si="23"/>
        <v>2.2610000000000001</v>
      </c>
      <c r="I41" s="218">
        <f t="shared" si="24"/>
        <v>1.99085</v>
      </c>
      <c r="J41" s="219">
        <f t="shared" si="25"/>
        <v>1.648858911985847</v>
      </c>
      <c r="K41" s="220">
        <f t="shared" si="26"/>
        <v>10.063800524283366</v>
      </c>
      <c r="L41" s="221">
        <f t="shared" si="27"/>
        <v>74.164417078547245</v>
      </c>
      <c r="M41" s="222">
        <f t="shared" si="28"/>
        <v>0.88051747014595316</v>
      </c>
      <c r="N41" s="223">
        <f t="shared" si="29"/>
        <v>0.17914110405446196</v>
      </c>
    </row>
    <row r="42" spans="2:18" ht="22" customHeight="1" thickBot="1" x14ac:dyDescent="0.3">
      <c r="B42" s="130"/>
      <c r="C42" s="130"/>
      <c r="D42" s="130"/>
      <c r="E42" s="130"/>
      <c r="F42" s="130"/>
      <c r="G42" s="130"/>
      <c r="H42" s="130"/>
      <c r="I42" s="130"/>
      <c r="J42" s="130"/>
      <c r="K42" s="130"/>
      <c r="L42" s="130"/>
      <c r="M42" s="130"/>
      <c r="N42" s="130"/>
      <c r="O42" s="130"/>
    </row>
    <row r="43" spans="2:18" ht="22" customHeight="1" thickTop="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workbookViewId="0">
      <selection activeCell="H3" sqref="H3"/>
    </sheetView>
  </sheetViews>
  <sheetFormatPr baseColWidth="10" defaultColWidth="10.83203125" defaultRowHeight="16" customHeight="1" x14ac:dyDescent="0.2"/>
  <cols>
    <col min="1" max="1" width="3.83203125" customWidth="1"/>
    <col min="2" max="2" width="39" customWidth="1"/>
    <col min="3" max="9" width="20.5" customWidth="1"/>
  </cols>
  <sheetData>
    <row r="1" spans="1:9" ht="21" customHeight="1" x14ac:dyDescent="0.25">
      <c r="A1" s="1"/>
      <c r="B1" s="1"/>
      <c r="C1" s="1"/>
      <c r="D1" s="1"/>
      <c r="E1" s="1"/>
      <c r="F1" s="1"/>
      <c r="G1" s="1"/>
      <c r="H1" s="1"/>
      <c r="I1" s="1"/>
    </row>
    <row r="2" spans="1:9" ht="22" customHeight="1" thickBot="1" x14ac:dyDescent="0.3">
      <c r="A2" s="1"/>
      <c r="B2" s="227" t="s">
        <v>124</v>
      </c>
      <c r="C2" s="227"/>
      <c r="D2" s="1"/>
      <c r="E2" s="1"/>
      <c r="F2" s="7" t="s">
        <v>97</v>
      </c>
      <c r="G2" s="7" t="s">
        <v>64</v>
      </c>
      <c r="H2" s="7" t="s">
        <v>31</v>
      </c>
      <c r="I2" s="7" t="s">
        <v>125</v>
      </c>
    </row>
    <row r="3" spans="1:9" ht="21" customHeight="1" x14ac:dyDescent="0.25">
      <c r="A3" s="1"/>
      <c r="B3" s="1"/>
      <c r="C3" s="1"/>
      <c r="D3" s="1"/>
      <c r="E3" s="1"/>
      <c r="F3" s="228" t="s">
        <v>100</v>
      </c>
      <c r="G3" s="229">
        <f>VLOOKUP(F3,distline_table,2,FALSE)</f>
        <v>50</v>
      </c>
      <c r="H3" s="230">
        <f>VLOOKUP(F3,distline_table,5,FALSE)</f>
        <v>3.9500000000000001E-4</v>
      </c>
      <c r="I3" s="231">
        <f>H3*G3*2</f>
        <v>3.95E-2</v>
      </c>
    </row>
    <row r="4" spans="1:9" ht="22" customHeight="1" thickBot="1" x14ac:dyDescent="0.3">
      <c r="A4" s="1"/>
      <c r="B4" s="1"/>
      <c r="C4" s="1"/>
      <c r="D4" s="1"/>
      <c r="E4" s="1"/>
      <c r="F4" s="232" t="s">
        <v>126</v>
      </c>
      <c r="G4" s="233">
        <f>VLOOKUP(F4,distline_table,2,FALSE)</f>
        <v>25</v>
      </c>
      <c r="H4" s="234">
        <f>VLOOKUP(F4,distline_table,5,FALSE)</f>
        <v>1.04681E-3</v>
      </c>
      <c r="I4" s="235">
        <f>H4*G4*2</f>
        <v>5.2340499999999998E-2</v>
      </c>
    </row>
    <row r="5" spans="1:9" ht="22" customHeight="1" thickBot="1" x14ac:dyDescent="0.3">
      <c r="A5" s="1"/>
      <c r="B5" s="25" t="s">
        <v>127</v>
      </c>
      <c r="C5" s="236">
        <v>13.8</v>
      </c>
      <c r="D5" s="1"/>
      <c r="E5" s="1"/>
      <c r="F5" s="232" t="s">
        <v>102</v>
      </c>
      <c r="G5" s="233">
        <f>VLOOKUP(F5,distline_table,2,FALSE)</f>
        <v>100</v>
      </c>
      <c r="H5" s="234">
        <f>VLOOKUP(F5,distline_table,5,FALSE)</f>
        <v>4.975E-4</v>
      </c>
      <c r="I5" s="235">
        <f>H5*G5*2</f>
        <v>9.9500000000000005E-2</v>
      </c>
    </row>
    <row r="6" spans="1:9" ht="22" customHeight="1" thickBot="1" x14ac:dyDescent="0.3">
      <c r="A6" s="1"/>
      <c r="B6" s="1"/>
      <c r="C6" s="1"/>
      <c r="D6" s="1"/>
      <c r="E6" s="1"/>
      <c r="F6" s="237" t="s">
        <v>105</v>
      </c>
      <c r="G6" s="238">
        <f>VLOOKUP(F6,distline_table,2,FALSE)</f>
        <v>100</v>
      </c>
      <c r="H6" s="239">
        <f>VLOOKUP(F6,distline_table,5,FALSE)</f>
        <v>2.7014999999999999E-3</v>
      </c>
      <c r="I6" s="240">
        <f>H6*G6*2</f>
        <v>0.5403</v>
      </c>
    </row>
    <row r="7" spans="1:9" ht="21" customHeight="1" x14ac:dyDescent="0.25">
      <c r="A7" s="1"/>
      <c r="B7" s="1"/>
      <c r="C7" s="1"/>
      <c r="D7" s="1"/>
      <c r="E7" s="1"/>
      <c r="F7" s="1"/>
      <c r="G7" s="1"/>
      <c r="H7" s="1"/>
      <c r="I7" s="1"/>
    </row>
    <row r="8" spans="1:9" ht="22" customHeight="1" thickBot="1" x14ac:dyDescent="0.3">
      <c r="A8" s="1"/>
      <c r="B8" s="1"/>
      <c r="C8" s="1"/>
      <c r="D8" s="1">
        <v>5</v>
      </c>
      <c r="E8" s="241">
        <v>10</v>
      </c>
      <c r="F8" s="1">
        <v>15</v>
      </c>
      <c r="G8" s="242">
        <v>20</v>
      </c>
      <c r="H8" s="1">
        <v>25</v>
      </c>
      <c r="I8" s="72">
        <v>30</v>
      </c>
    </row>
    <row r="9" spans="1:9" ht="21" customHeight="1" x14ac:dyDescent="0.25">
      <c r="A9" s="1"/>
      <c r="B9" s="1" t="s">
        <v>128</v>
      </c>
      <c r="C9" s="1" t="str">
        <f>F3</f>
        <v>50' #6 CU</v>
      </c>
      <c r="D9" s="159">
        <f t="shared" ref="D9:I12" si="0">cdl_volts/D$8</f>
        <v>2.7600000000000002</v>
      </c>
      <c r="E9" s="243">
        <f t="shared" si="0"/>
        <v>1.3800000000000001</v>
      </c>
      <c r="F9" s="244">
        <f t="shared" si="0"/>
        <v>0.92</v>
      </c>
      <c r="G9" s="245">
        <f t="shared" si="0"/>
        <v>0.69000000000000006</v>
      </c>
      <c r="H9" s="244">
        <f t="shared" si="0"/>
        <v>0.55200000000000005</v>
      </c>
      <c r="I9" s="246">
        <f t="shared" si="0"/>
        <v>0.46</v>
      </c>
    </row>
    <row r="10" spans="1:9" ht="21" customHeight="1" x14ac:dyDescent="0.25">
      <c r="A10" s="1"/>
      <c r="B10" s="1"/>
      <c r="C10" s="1" t="str">
        <f>F4</f>
        <v>25' #10 CU</v>
      </c>
      <c r="D10" s="169">
        <f t="shared" si="0"/>
        <v>2.7600000000000002</v>
      </c>
      <c r="E10" s="247">
        <f t="shared" si="0"/>
        <v>1.3800000000000001</v>
      </c>
      <c r="F10" s="1">
        <f t="shared" si="0"/>
        <v>0.92</v>
      </c>
      <c r="G10" s="242">
        <f t="shared" si="0"/>
        <v>0.69000000000000006</v>
      </c>
      <c r="H10" s="1">
        <f t="shared" si="0"/>
        <v>0.55200000000000005</v>
      </c>
      <c r="I10" s="248">
        <f t="shared" si="0"/>
        <v>0.46</v>
      </c>
    </row>
    <row r="11" spans="1:9" ht="21" customHeight="1" x14ac:dyDescent="0.25">
      <c r="A11" s="1"/>
      <c r="B11" s="1"/>
      <c r="C11" s="1" t="str">
        <f>F5</f>
        <v>100' #8(7) CU</v>
      </c>
      <c r="D11" s="169">
        <f t="shared" si="0"/>
        <v>2.7600000000000002</v>
      </c>
      <c r="E11" s="247">
        <f t="shared" si="0"/>
        <v>1.3800000000000001</v>
      </c>
      <c r="F11" s="1">
        <f t="shared" si="0"/>
        <v>0.92</v>
      </c>
      <c r="G11" s="242">
        <f t="shared" si="0"/>
        <v>0.69000000000000006</v>
      </c>
      <c r="H11" s="1">
        <f t="shared" si="0"/>
        <v>0.55200000000000005</v>
      </c>
      <c r="I11" s="248">
        <f t="shared" si="0"/>
        <v>0.46</v>
      </c>
    </row>
    <row r="12" spans="1:9" ht="22" customHeight="1" thickBot="1" x14ac:dyDescent="0.3">
      <c r="A12" s="1"/>
      <c r="B12" s="1"/>
      <c r="C12" s="1" t="str">
        <f>F6</f>
        <v>100' #10 CCA</v>
      </c>
      <c r="D12" s="204">
        <f t="shared" si="0"/>
        <v>2.7600000000000002</v>
      </c>
      <c r="E12" s="249">
        <f t="shared" si="0"/>
        <v>1.3800000000000001</v>
      </c>
      <c r="F12" s="95">
        <f t="shared" si="0"/>
        <v>0.92</v>
      </c>
      <c r="G12" s="250">
        <f t="shared" si="0"/>
        <v>0.69000000000000006</v>
      </c>
      <c r="H12" s="95">
        <f t="shared" si="0"/>
        <v>0.55200000000000005</v>
      </c>
      <c r="I12" s="251">
        <f t="shared" si="0"/>
        <v>0.46</v>
      </c>
    </row>
    <row r="13" spans="1:9" ht="22" customHeight="1" thickBot="1" x14ac:dyDescent="0.3">
      <c r="A13" s="1"/>
      <c r="B13" s="1"/>
      <c r="C13" s="1"/>
      <c r="D13" s="1">
        <v>5</v>
      </c>
      <c r="E13" s="241">
        <v>10</v>
      </c>
      <c r="F13" s="1">
        <v>15</v>
      </c>
      <c r="G13" s="242">
        <v>20</v>
      </c>
      <c r="H13" s="1">
        <v>25</v>
      </c>
      <c r="I13" s="72">
        <v>30</v>
      </c>
    </row>
    <row r="14" spans="1:9" ht="21" customHeight="1" x14ac:dyDescent="0.25">
      <c r="A14" s="1"/>
      <c r="B14" s="1" t="s">
        <v>129</v>
      </c>
      <c r="C14" s="1" t="str">
        <f>C9</f>
        <v>50' #6 CU</v>
      </c>
      <c r="D14" s="252">
        <f t="shared" ref="D14:I17" si="1">cdl_volts*D$13</f>
        <v>69</v>
      </c>
      <c r="E14" s="253">
        <f t="shared" si="1"/>
        <v>138</v>
      </c>
      <c r="F14" s="254">
        <f t="shared" si="1"/>
        <v>207</v>
      </c>
      <c r="G14" s="255">
        <f t="shared" si="1"/>
        <v>276</v>
      </c>
      <c r="H14" s="254">
        <f t="shared" si="1"/>
        <v>345</v>
      </c>
      <c r="I14" s="256">
        <f t="shared" si="1"/>
        <v>414</v>
      </c>
    </row>
    <row r="15" spans="1:9" ht="21" customHeight="1" x14ac:dyDescent="0.25">
      <c r="A15" s="1"/>
      <c r="B15" s="1"/>
      <c r="C15" s="1" t="str">
        <f>C10</f>
        <v>25' #10 CU</v>
      </c>
      <c r="D15" s="257">
        <f t="shared" si="1"/>
        <v>69</v>
      </c>
      <c r="E15" s="258">
        <f t="shared" si="1"/>
        <v>138</v>
      </c>
      <c r="F15" s="6">
        <f t="shared" si="1"/>
        <v>207</v>
      </c>
      <c r="G15" s="259">
        <f t="shared" si="1"/>
        <v>276</v>
      </c>
      <c r="H15" s="6">
        <f t="shared" si="1"/>
        <v>345</v>
      </c>
      <c r="I15" s="260">
        <f t="shared" si="1"/>
        <v>414</v>
      </c>
    </row>
    <row r="16" spans="1:9" ht="21" customHeight="1" x14ac:dyDescent="0.25">
      <c r="A16" s="1"/>
      <c r="B16" s="1"/>
      <c r="C16" s="1" t="str">
        <f>C11</f>
        <v>100' #8(7) CU</v>
      </c>
      <c r="D16" s="257">
        <f t="shared" si="1"/>
        <v>69</v>
      </c>
      <c r="E16" s="258">
        <f t="shared" si="1"/>
        <v>138</v>
      </c>
      <c r="F16" s="6">
        <f t="shared" si="1"/>
        <v>207</v>
      </c>
      <c r="G16" s="259">
        <f t="shared" si="1"/>
        <v>276</v>
      </c>
      <c r="H16" s="6">
        <f t="shared" si="1"/>
        <v>345</v>
      </c>
      <c r="I16" s="260">
        <f t="shared" si="1"/>
        <v>414</v>
      </c>
    </row>
    <row r="17" spans="1:9" ht="22" customHeight="1" thickBot="1" x14ac:dyDescent="0.3">
      <c r="A17" s="1"/>
      <c r="B17" s="1"/>
      <c r="C17" s="1" t="str">
        <f>C12</f>
        <v>100' #10 CCA</v>
      </c>
      <c r="D17" s="261">
        <f t="shared" si="1"/>
        <v>69</v>
      </c>
      <c r="E17" s="262">
        <f t="shared" si="1"/>
        <v>138</v>
      </c>
      <c r="F17" s="263">
        <f t="shared" si="1"/>
        <v>207</v>
      </c>
      <c r="G17" s="264">
        <f t="shared" si="1"/>
        <v>276</v>
      </c>
      <c r="H17" s="263">
        <f t="shared" si="1"/>
        <v>345</v>
      </c>
      <c r="I17" s="265">
        <f t="shared" si="1"/>
        <v>414</v>
      </c>
    </row>
    <row r="18" spans="1:9" ht="22" customHeight="1" thickBot="1" x14ac:dyDescent="0.3">
      <c r="A18" s="1"/>
      <c r="B18" s="1"/>
      <c r="C18" s="1"/>
      <c r="D18" s="1">
        <v>5</v>
      </c>
      <c r="E18" s="241">
        <v>10</v>
      </c>
      <c r="F18" s="1">
        <v>15</v>
      </c>
      <c r="G18" s="242">
        <v>20</v>
      </c>
      <c r="H18" s="1">
        <v>25</v>
      </c>
      <c r="I18" s="72">
        <v>30</v>
      </c>
    </row>
    <row r="19" spans="1:9" ht="21" customHeight="1" x14ac:dyDescent="0.25">
      <c r="A19" s="1"/>
      <c r="B19" s="1" t="s">
        <v>130</v>
      </c>
      <c r="C19" s="1" t="str">
        <f>C9</f>
        <v>50' #6 CU</v>
      </c>
      <c r="D19" s="266">
        <f t="shared" ref="D19:I22" si="2">$I3</f>
        <v>3.95E-2</v>
      </c>
      <c r="E19" s="267">
        <f t="shared" si="2"/>
        <v>3.95E-2</v>
      </c>
      <c r="F19" s="268">
        <f t="shared" si="2"/>
        <v>3.95E-2</v>
      </c>
      <c r="G19" s="269">
        <f t="shared" si="2"/>
        <v>3.95E-2</v>
      </c>
      <c r="H19" s="268">
        <f t="shared" si="2"/>
        <v>3.95E-2</v>
      </c>
      <c r="I19" s="270">
        <f t="shared" si="2"/>
        <v>3.95E-2</v>
      </c>
    </row>
    <row r="20" spans="1:9" ht="21" customHeight="1" x14ac:dyDescent="0.25">
      <c r="A20" s="1"/>
      <c r="B20" s="1"/>
      <c r="C20" s="1" t="str">
        <f>C10</f>
        <v>25' #10 CU</v>
      </c>
      <c r="D20" s="271">
        <f t="shared" si="2"/>
        <v>5.2340499999999998E-2</v>
      </c>
      <c r="E20" s="272">
        <f t="shared" si="2"/>
        <v>5.2340499999999998E-2</v>
      </c>
      <c r="F20" s="3">
        <f t="shared" si="2"/>
        <v>5.2340499999999998E-2</v>
      </c>
      <c r="G20" s="273">
        <f t="shared" si="2"/>
        <v>5.2340499999999998E-2</v>
      </c>
      <c r="H20" s="3">
        <f t="shared" si="2"/>
        <v>5.2340499999999998E-2</v>
      </c>
      <c r="I20" s="274">
        <f t="shared" si="2"/>
        <v>5.2340499999999998E-2</v>
      </c>
    </row>
    <row r="21" spans="1:9" ht="21" customHeight="1" x14ac:dyDescent="0.25">
      <c r="A21" s="1"/>
      <c r="B21" s="1"/>
      <c r="C21" s="1" t="str">
        <f>C11</f>
        <v>100' #8(7) CU</v>
      </c>
      <c r="D21" s="271">
        <f t="shared" si="2"/>
        <v>9.9500000000000005E-2</v>
      </c>
      <c r="E21" s="272">
        <f t="shared" si="2"/>
        <v>9.9500000000000005E-2</v>
      </c>
      <c r="F21" s="3">
        <f t="shared" si="2"/>
        <v>9.9500000000000005E-2</v>
      </c>
      <c r="G21" s="273">
        <f t="shared" si="2"/>
        <v>9.9500000000000005E-2</v>
      </c>
      <c r="H21" s="3">
        <f t="shared" si="2"/>
        <v>9.9500000000000005E-2</v>
      </c>
      <c r="I21" s="274">
        <f t="shared" si="2"/>
        <v>9.9500000000000005E-2</v>
      </c>
    </row>
    <row r="22" spans="1:9" ht="22" customHeight="1" thickBot="1" x14ac:dyDescent="0.3">
      <c r="A22" s="1"/>
      <c r="B22" s="1"/>
      <c r="C22" s="1" t="str">
        <f>C12</f>
        <v>100' #10 CCA</v>
      </c>
      <c r="D22" s="275">
        <f t="shared" si="2"/>
        <v>0.5403</v>
      </c>
      <c r="E22" s="276">
        <f t="shared" si="2"/>
        <v>0.5403</v>
      </c>
      <c r="F22" s="277">
        <f t="shared" si="2"/>
        <v>0.5403</v>
      </c>
      <c r="G22" s="278">
        <f t="shared" si="2"/>
        <v>0.5403</v>
      </c>
      <c r="H22" s="277">
        <f t="shared" si="2"/>
        <v>0.5403</v>
      </c>
      <c r="I22" s="279">
        <f t="shared" si="2"/>
        <v>0.5403</v>
      </c>
    </row>
    <row r="23" spans="1:9" ht="22" customHeight="1" thickBot="1" x14ac:dyDescent="0.3">
      <c r="A23" s="1"/>
      <c r="B23" s="1"/>
      <c r="C23" s="1"/>
      <c r="D23" s="1">
        <v>5</v>
      </c>
      <c r="E23" s="241">
        <v>10</v>
      </c>
      <c r="F23" s="1">
        <v>15</v>
      </c>
      <c r="G23" s="242">
        <v>20</v>
      </c>
      <c r="H23" s="1">
        <v>25</v>
      </c>
      <c r="I23" s="72">
        <v>30</v>
      </c>
    </row>
    <row r="24" spans="1:9" ht="21" customHeight="1" x14ac:dyDescent="0.25">
      <c r="A24" s="1"/>
      <c r="B24" s="1" t="s">
        <v>131</v>
      </c>
      <c r="C24" s="1" t="str">
        <f>C14</f>
        <v>50' #6 CU</v>
      </c>
      <c r="D24" s="266">
        <f t="shared" ref="D24:I27" si="3">D9+D19</f>
        <v>2.7995000000000001</v>
      </c>
      <c r="E24" s="267">
        <f t="shared" si="3"/>
        <v>1.4195000000000002</v>
      </c>
      <c r="F24" s="268">
        <f t="shared" si="3"/>
        <v>0.95950000000000002</v>
      </c>
      <c r="G24" s="269">
        <f t="shared" si="3"/>
        <v>0.72950000000000004</v>
      </c>
      <c r="H24" s="268">
        <f t="shared" si="3"/>
        <v>0.59150000000000003</v>
      </c>
      <c r="I24" s="270">
        <f t="shared" si="3"/>
        <v>0.4995</v>
      </c>
    </row>
    <row r="25" spans="1:9" ht="21" customHeight="1" x14ac:dyDescent="0.25">
      <c r="A25" s="1"/>
      <c r="B25" s="1"/>
      <c r="C25" s="1" t="str">
        <f>C15</f>
        <v>25' #10 CU</v>
      </c>
      <c r="D25" s="271">
        <f t="shared" si="3"/>
        <v>2.8123405000000004</v>
      </c>
      <c r="E25" s="272">
        <f t="shared" si="3"/>
        <v>1.4323405</v>
      </c>
      <c r="F25" s="3">
        <f t="shared" si="3"/>
        <v>0.97234050000000005</v>
      </c>
      <c r="G25" s="273">
        <f t="shared" si="3"/>
        <v>0.74234050000000007</v>
      </c>
      <c r="H25" s="3">
        <f t="shared" si="3"/>
        <v>0.60434050000000006</v>
      </c>
      <c r="I25" s="274">
        <f t="shared" si="3"/>
        <v>0.51234049999999998</v>
      </c>
    </row>
    <row r="26" spans="1:9" ht="21" customHeight="1" x14ac:dyDescent="0.25">
      <c r="A26" s="1"/>
      <c r="B26" s="1"/>
      <c r="C26" s="1" t="str">
        <f>C16</f>
        <v>100' #8(7) CU</v>
      </c>
      <c r="D26" s="271">
        <f t="shared" si="3"/>
        <v>2.8595000000000002</v>
      </c>
      <c r="E26" s="272">
        <f t="shared" si="3"/>
        <v>1.4795</v>
      </c>
      <c r="F26" s="3">
        <f t="shared" si="3"/>
        <v>1.0195000000000001</v>
      </c>
      <c r="G26" s="273">
        <f t="shared" si="3"/>
        <v>0.78950000000000009</v>
      </c>
      <c r="H26" s="3">
        <f t="shared" si="3"/>
        <v>0.65150000000000008</v>
      </c>
      <c r="I26" s="274">
        <f t="shared" si="3"/>
        <v>0.5595</v>
      </c>
    </row>
    <row r="27" spans="1:9" ht="22" customHeight="1" thickBot="1" x14ac:dyDescent="0.3">
      <c r="A27" s="1"/>
      <c r="B27" s="1"/>
      <c r="C27" s="1" t="str">
        <f>C17</f>
        <v>100' #10 CCA</v>
      </c>
      <c r="D27" s="275">
        <f t="shared" si="3"/>
        <v>3.3003</v>
      </c>
      <c r="E27" s="276">
        <f t="shared" si="3"/>
        <v>1.9203000000000001</v>
      </c>
      <c r="F27" s="277">
        <f t="shared" si="3"/>
        <v>1.4603000000000002</v>
      </c>
      <c r="G27" s="278">
        <f t="shared" si="3"/>
        <v>1.2303000000000002</v>
      </c>
      <c r="H27" s="277">
        <f t="shared" si="3"/>
        <v>1.0923</v>
      </c>
      <c r="I27" s="279">
        <f t="shared" si="3"/>
        <v>1.0003</v>
      </c>
    </row>
    <row r="28" spans="1:9" ht="22" customHeight="1" thickBot="1" x14ac:dyDescent="0.3">
      <c r="A28" s="1"/>
      <c r="B28" s="1"/>
      <c r="C28" s="1"/>
      <c r="D28" s="1">
        <v>5</v>
      </c>
      <c r="E28" s="241">
        <v>10</v>
      </c>
      <c r="F28" s="1">
        <v>15</v>
      </c>
      <c r="G28" s="242">
        <v>20</v>
      </c>
      <c r="H28" s="1">
        <v>25</v>
      </c>
      <c r="I28" s="72">
        <v>30</v>
      </c>
    </row>
    <row r="29" spans="1:9" ht="21" customHeight="1" x14ac:dyDescent="0.25">
      <c r="A29" s="1"/>
      <c r="B29" s="1" t="s">
        <v>132</v>
      </c>
      <c r="C29" s="1" t="str">
        <f>C24</f>
        <v>50' #6 CU</v>
      </c>
      <c r="D29" s="280">
        <f t="shared" ref="D29:I32" si="4">cdl_volts/D24</f>
        <v>4.929451687801393</v>
      </c>
      <c r="E29" s="281">
        <f t="shared" si="4"/>
        <v>9.7217330045790771</v>
      </c>
      <c r="F29" s="282">
        <f t="shared" si="4"/>
        <v>14.382490880667014</v>
      </c>
      <c r="G29" s="283">
        <f t="shared" si="4"/>
        <v>18.917066483893077</v>
      </c>
      <c r="H29" s="282">
        <f t="shared" si="4"/>
        <v>23.330515638207945</v>
      </c>
      <c r="I29" s="284">
        <f t="shared" si="4"/>
        <v>27.627627627627628</v>
      </c>
    </row>
    <row r="30" spans="1:9" ht="21" customHeight="1" x14ac:dyDescent="0.25">
      <c r="A30" s="1"/>
      <c r="B30" s="1"/>
      <c r="C30" s="1" t="str">
        <f>C25</f>
        <v>25' #10 CU</v>
      </c>
      <c r="D30" s="285">
        <f t="shared" si="4"/>
        <v>4.9069449449666562</v>
      </c>
      <c r="E30" s="286">
        <f t="shared" si="4"/>
        <v>9.6345806042627444</v>
      </c>
      <c r="F30" s="287">
        <f t="shared" si="4"/>
        <v>14.192559088097225</v>
      </c>
      <c r="G30" s="288">
        <f t="shared" si="4"/>
        <v>18.589851961465122</v>
      </c>
      <c r="H30" s="287">
        <f t="shared" si="4"/>
        <v>22.834809184557379</v>
      </c>
      <c r="I30" s="289">
        <f t="shared" si="4"/>
        <v>26.935212031842109</v>
      </c>
    </row>
    <row r="31" spans="1:9" ht="21" customHeight="1" x14ac:dyDescent="0.25">
      <c r="A31" s="1"/>
      <c r="B31" s="1"/>
      <c r="C31" s="1" t="str">
        <f>C26</f>
        <v>100' #8(7) CU</v>
      </c>
      <c r="D31" s="285">
        <f t="shared" si="4"/>
        <v>4.8260185347088651</v>
      </c>
      <c r="E31" s="286">
        <f t="shared" si="4"/>
        <v>9.3274754984792168</v>
      </c>
      <c r="F31" s="287">
        <f t="shared" si="4"/>
        <v>13.536047081902893</v>
      </c>
      <c r="G31" s="288">
        <f t="shared" si="4"/>
        <v>17.479417352754908</v>
      </c>
      <c r="H31" s="287">
        <f t="shared" si="4"/>
        <v>21.181887950882576</v>
      </c>
      <c r="I31" s="289">
        <f t="shared" si="4"/>
        <v>24.664879356568367</v>
      </c>
    </row>
    <row r="32" spans="1:9" ht="22" customHeight="1" thickBot="1" x14ac:dyDescent="0.3">
      <c r="A32" s="1"/>
      <c r="B32" s="1"/>
      <c r="C32" s="1" t="str">
        <f>C27</f>
        <v>100' #10 CCA</v>
      </c>
      <c r="D32" s="290">
        <f t="shared" si="4"/>
        <v>4.181438051086265</v>
      </c>
      <c r="E32" s="291">
        <f t="shared" si="4"/>
        <v>7.1863771285736604</v>
      </c>
      <c r="F32" s="292">
        <f t="shared" si="4"/>
        <v>9.4501129904814078</v>
      </c>
      <c r="G32" s="293">
        <f t="shared" si="4"/>
        <v>11.216776396000974</v>
      </c>
      <c r="H32" s="292">
        <f t="shared" si="4"/>
        <v>12.633891787970338</v>
      </c>
      <c r="I32" s="294">
        <f t="shared" si="4"/>
        <v>13.795861241627513</v>
      </c>
    </row>
    <row r="33" spans="1:9" ht="22" customHeight="1" thickBot="1" x14ac:dyDescent="0.3">
      <c r="A33" s="1"/>
      <c r="B33" s="1"/>
      <c r="C33" s="1"/>
      <c r="D33" s="1">
        <v>5</v>
      </c>
      <c r="E33" s="241">
        <v>10</v>
      </c>
      <c r="F33" s="1">
        <v>15</v>
      </c>
      <c r="G33" s="242">
        <v>20</v>
      </c>
      <c r="H33" s="1">
        <v>25</v>
      </c>
      <c r="I33" s="72">
        <v>30</v>
      </c>
    </row>
    <row r="34" spans="1:9" ht="21" customHeight="1" x14ac:dyDescent="0.25">
      <c r="A34" s="1"/>
      <c r="B34" s="1" t="s">
        <v>133</v>
      </c>
      <c r="C34" s="1" t="str">
        <f>C29</f>
        <v>50' #6 CU</v>
      </c>
      <c r="D34" s="252">
        <f t="shared" ref="D34:I37" si="5">D29*D29*D9</f>
        <v>67.066603280935695</v>
      </c>
      <c r="E34" s="253">
        <f t="shared" si="5"/>
        <v>130.42668780500455</v>
      </c>
      <c r="F34" s="254">
        <f t="shared" si="5"/>
        <v>190.30756041787225</v>
      </c>
      <c r="G34" s="255">
        <f t="shared" si="5"/>
        <v>246.92022900566124</v>
      </c>
      <c r="H34" s="254">
        <f t="shared" si="5"/>
        <v>300.46075388945542</v>
      </c>
      <c r="I34" s="256">
        <f t="shared" si="5"/>
        <v>351.11147183219259</v>
      </c>
    </row>
    <row r="35" spans="1:9" ht="21" customHeight="1" x14ac:dyDescent="0.25">
      <c r="A35" s="1"/>
      <c r="B35" s="1"/>
      <c r="C35" s="1" t="str">
        <f>C30</f>
        <v>25' #10 CU</v>
      </c>
      <c r="D35" s="257">
        <f t="shared" si="5"/>
        <v>66.455579992497348</v>
      </c>
      <c r="E35" s="258">
        <f t="shared" si="5"/>
        <v>128.09869791964951</v>
      </c>
      <c r="F35" s="6">
        <f t="shared" si="5"/>
        <v>185.31443479160063</v>
      </c>
      <c r="G35" s="259">
        <f t="shared" si="5"/>
        <v>238.45199120494019</v>
      </c>
      <c r="H35" s="6">
        <f t="shared" si="5"/>
        <v>287.82853779332066</v>
      </c>
      <c r="I35" s="260">
        <f t="shared" si="5"/>
        <v>333.73259771213429</v>
      </c>
    </row>
    <row r="36" spans="1:9" ht="21" customHeight="1" x14ac:dyDescent="0.25">
      <c r="A36" s="1"/>
      <c r="B36" s="1"/>
      <c r="C36" s="1" t="str">
        <f>C31</f>
        <v>100' #8(7) CU</v>
      </c>
      <c r="D36" s="257">
        <f t="shared" si="5"/>
        <v>64.281655516695665</v>
      </c>
      <c r="E36" s="258">
        <f t="shared" si="5"/>
        <v>120.06248286112756</v>
      </c>
      <c r="F36" s="6">
        <f t="shared" si="5"/>
        <v>168.56660495521248</v>
      </c>
      <c r="G36" s="259">
        <f t="shared" si="5"/>
        <v>210.81572138433469</v>
      </c>
      <c r="H36" s="6">
        <f t="shared" si="5"/>
        <v>247.66715219438694</v>
      </c>
      <c r="I36" s="260">
        <f t="shared" si="5"/>
        <v>279.8438858900733</v>
      </c>
    </row>
    <row r="37" spans="1:9" ht="22" customHeight="1" thickBot="1" x14ac:dyDescent="0.3">
      <c r="A37" s="1"/>
      <c r="B37" s="1"/>
      <c r="C37" s="1" t="str">
        <f>C32</f>
        <v>100' #10 CCA</v>
      </c>
      <c r="D37" s="261">
        <f t="shared" si="5"/>
        <v>48.257010723199009</v>
      </c>
      <c r="E37" s="262">
        <f t="shared" si="5"/>
        <v>71.268742403039525</v>
      </c>
      <c r="F37" s="263">
        <f t="shared" si="5"/>
        <v>82.160264690236232</v>
      </c>
      <c r="G37" s="264">
        <f t="shared" si="5"/>
        <v>86.813090175340378</v>
      </c>
      <c r="H37" s="263">
        <f t="shared" si="5"/>
        <v>88.107602383999676</v>
      </c>
      <c r="I37" s="265">
        <f t="shared" si="5"/>
        <v>87.549862203190514</v>
      </c>
    </row>
    <row r="38" spans="1:9" ht="22" customHeight="1" thickBot="1" x14ac:dyDescent="0.3">
      <c r="A38" s="1"/>
      <c r="B38" s="1"/>
      <c r="C38" s="1"/>
      <c r="D38" s="1">
        <v>5</v>
      </c>
      <c r="E38" s="241">
        <v>10</v>
      </c>
      <c r="F38" s="1">
        <v>15</v>
      </c>
      <c r="G38" s="242">
        <v>20</v>
      </c>
      <c r="H38" s="1">
        <v>25</v>
      </c>
      <c r="I38" s="72">
        <v>30</v>
      </c>
    </row>
    <row r="39" spans="1:9" ht="21" customHeight="1" x14ac:dyDescent="0.25">
      <c r="A39" s="1"/>
      <c r="B39" s="1" t="s">
        <v>134</v>
      </c>
      <c r="C39" s="1" t="str">
        <f>C34</f>
        <v>50' #6 CU</v>
      </c>
      <c r="D39" s="295">
        <f t="shared" ref="D39:I42" si="6">D34/D14</f>
        <v>0.97197975769472023</v>
      </c>
      <c r="E39" s="296">
        <f t="shared" si="6"/>
        <v>0.94512092612322141</v>
      </c>
      <c r="F39" s="297">
        <f t="shared" si="6"/>
        <v>0.91936019525542156</v>
      </c>
      <c r="G39" s="298">
        <f t="shared" si="6"/>
        <v>0.89463851089007695</v>
      </c>
      <c r="H39" s="297">
        <f t="shared" si="6"/>
        <v>0.870900735911465</v>
      </c>
      <c r="I39" s="299">
        <f t="shared" si="6"/>
        <v>0.84809534258983721</v>
      </c>
    </row>
    <row r="40" spans="1:9" ht="21" customHeight="1" x14ac:dyDescent="0.25">
      <c r="A40" s="1"/>
      <c r="B40" s="1"/>
      <c r="C40" s="1" t="str">
        <f>C35</f>
        <v>25' #10 CU</v>
      </c>
      <c r="D40" s="300">
        <f t="shared" si="6"/>
        <v>0.96312434771735289</v>
      </c>
      <c r="E40" s="301">
        <f t="shared" si="6"/>
        <v>0.92825143420035872</v>
      </c>
      <c r="F40" s="302">
        <f t="shared" si="6"/>
        <v>0.89523881541836059</v>
      </c>
      <c r="G40" s="303">
        <f t="shared" si="6"/>
        <v>0.86395648987297169</v>
      </c>
      <c r="H40" s="302">
        <f t="shared" si="6"/>
        <v>0.83428561679223379</v>
      </c>
      <c r="I40" s="304">
        <f t="shared" si="6"/>
        <v>0.8061173857781021</v>
      </c>
    </row>
    <row r="41" spans="1:9" ht="21" customHeight="1" x14ac:dyDescent="0.25">
      <c r="A41" s="1"/>
      <c r="B41" s="1"/>
      <c r="C41" s="1" t="str">
        <f>C36</f>
        <v>100' #8(7) CU</v>
      </c>
      <c r="D41" s="300">
        <f t="shared" si="6"/>
        <v>0.93161819589414008</v>
      </c>
      <c r="E41" s="301">
        <f t="shared" si="6"/>
        <v>0.87001799174730121</v>
      </c>
      <c r="F41" s="302">
        <f t="shared" si="6"/>
        <v>0.81433142490440813</v>
      </c>
      <c r="G41" s="303">
        <f t="shared" si="6"/>
        <v>0.76382507747947348</v>
      </c>
      <c r="H41" s="302">
        <f t="shared" si="6"/>
        <v>0.71787580346199109</v>
      </c>
      <c r="I41" s="304">
        <f t="shared" si="6"/>
        <v>0.67595141519341373</v>
      </c>
    </row>
    <row r="42" spans="1:9" ht="22" customHeight="1" thickBot="1" x14ac:dyDescent="0.3">
      <c r="A42" s="1"/>
      <c r="B42" s="1"/>
      <c r="C42" s="1" t="str">
        <f>C37</f>
        <v>100' #10 CCA</v>
      </c>
      <c r="D42" s="305">
        <f t="shared" si="6"/>
        <v>0.69937696700288421</v>
      </c>
      <c r="E42" s="306">
        <f t="shared" si="6"/>
        <v>0.51644016234086609</v>
      </c>
      <c r="F42" s="307">
        <f t="shared" si="6"/>
        <v>0.39690949125717989</v>
      </c>
      <c r="G42" s="308">
        <f t="shared" si="6"/>
        <v>0.31454018179471149</v>
      </c>
      <c r="H42" s="307">
        <f t="shared" si="6"/>
        <v>0.25538435473623095</v>
      </c>
      <c r="I42" s="309">
        <f t="shared" si="6"/>
        <v>0.21147309710915582</v>
      </c>
    </row>
    <row r="43" spans="1:9" ht="22" customHeight="1" thickBot="1" x14ac:dyDescent="0.3">
      <c r="A43" s="1"/>
      <c r="B43" s="1"/>
      <c r="C43" s="1"/>
      <c r="D43" s="1">
        <v>5</v>
      </c>
      <c r="E43" s="241">
        <v>10</v>
      </c>
      <c r="F43" s="1">
        <v>15</v>
      </c>
      <c r="G43" s="242">
        <v>20</v>
      </c>
      <c r="H43" s="1">
        <v>25</v>
      </c>
      <c r="I43" s="72">
        <v>30</v>
      </c>
    </row>
    <row r="44" spans="1:9" ht="21" customHeight="1" x14ac:dyDescent="0.25">
      <c r="A44" s="1"/>
      <c r="B44" s="1" t="s">
        <v>135</v>
      </c>
      <c r="C44" s="1" t="str">
        <f>C39</f>
        <v>50' #6 CU</v>
      </c>
      <c r="D44" s="252">
        <f t="shared" ref="D44:I47" si="7">D29*D29*D19</f>
        <v>0.95983001072353613</v>
      </c>
      <c r="E44" s="253">
        <f t="shared" si="7"/>
        <v>3.7332276581867245</v>
      </c>
      <c r="F44" s="254">
        <f t="shared" si="7"/>
        <v>8.1708137353325583</v>
      </c>
      <c r="G44" s="255">
        <f t="shared" si="7"/>
        <v>14.135288472063214</v>
      </c>
      <c r="H44" s="254">
        <f t="shared" si="7"/>
        <v>21.500361917814288</v>
      </c>
      <c r="I44" s="256">
        <f t="shared" si="7"/>
        <v>30.149789429068711</v>
      </c>
    </row>
    <row r="45" spans="1:9" ht="21" customHeight="1" x14ac:dyDescent="0.25">
      <c r="A45" s="1"/>
      <c r="B45" s="1"/>
      <c r="C45" s="1" t="str">
        <f>C40</f>
        <v>25' #10 CU</v>
      </c>
      <c r="D45" s="257">
        <f t="shared" si="7"/>
        <v>1.2602602480425027</v>
      </c>
      <c r="E45" s="258">
        <f t="shared" si="7"/>
        <v>4.8585144191763874</v>
      </c>
      <c r="F45" s="6">
        <f t="shared" si="7"/>
        <v>10.542880624141057</v>
      </c>
      <c r="G45" s="259">
        <f t="shared" si="7"/>
        <v>18.087965863278509</v>
      </c>
      <c r="H45" s="6">
        <f t="shared" si="7"/>
        <v>27.291828953571191</v>
      </c>
      <c r="I45" s="260">
        <f t="shared" si="7"/>
        <v>37.973328327286879</v>
      </c>
    </row>
    <row r="46" spans="1:9" ht="21" customHeight="1" x14ac:dyDescent="0.25">
      <c r="A46" s="1"/>
      <c r="B46" s="1"/>
      <c r="C46" s="1" t="str">
        <f>C41</f>
        <v>100' #8(7) CU</v>
      </c>
      <c r="D46" s="257">
        <f t="shared" si="7"/>
        <v>2.3174002622866734</v>
      </c>
      <c r="E46" s="258">
        <f t="shared" si="7"/>
        <v>8.6566790178856472</v>
      </c>
      <c r="F46" s="6">
        <f t="shared" si="7"/>
        <v>18.230844775047437</v>
      </c>
      <c r="G46" s="259">
        <f t="shared" si="7"/>
        <v>30.400238083683043</v>
      </c>
      <c r="H46" s="6">
        <f t="shared" si="7"/>
        <v>44.642901527792574</v>
      </c>
      <c r="I46" s="260">
        <f t="shared" si="7"/>
        <v>60.531449230570196</v>
      </c>
    </row>
    <row r="47" spans="1:9" ht="22" customHeight="1" thickBot="1" x14ac:dyDescent="0.3">
      <c r="A47" s="1"/>
      <c r="B47" s="1"/>
      <c r="C47" s="1" t="str">
        <f>C42</f>
        <v>100' #10 CCA</v>
      </c>
      <c r="D47" s="261">
        <f t="shared" si="7"/>
        <v>9.446834381791458</v>
      </c>
      <c r="E47" s="262">
        <f t="shared" si="7"/>
        <v>27.903261971276994</v>
      </c>
      <c r="F47" s="263">
        <f t="shared" si="7"/>
        <v>48.251294578407212</v>
      </c>
      <c r="G47" s="264">
        <f t="shared" si="7"/>
        <v>67.978424089473052</v>
      </c>
      <c r="H47" s="263">
        <f t="shared" si="7"/>
        <v>86.240104289990981</v>
      </c>
      <c r="I47" s="265">
        <f t="shared" si="7"/>
        <v>102.8330229312692</v>
      </c>
    </row>
  </sheetData>
  <dataValidations count="1">
    <dataValidation type="list" allowBlank="1" showInputMessage="1" showErrorMessage="1" sqref="F3:F6" xr:uid="{00000000-0002-0000-0300-000000000000}">
      <formula1>distline_choices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8"/>
  <sheetViews>
    <sheetView workbookViewId="0">
      <selection activeCell="L24" sqref="L24"/>
    </sheetView>
  </sheetViews>
  <sheetFormatPr baseColWidth="10" defaultColWidth="10.83203125" defaultRowHeight="16" customHeight="1" x14ac:dyDescent="0.2"/>
  <cols>
    <col min="1" max="1" width="3.83203125" customWidth="1"/>
    <col min="2" max="2" width="39" customWidth="1"/>
    <col min="3" max="9" width="20.5" customWidth="1"/>
  </cols>
  <sheetData>
    <row r="1" spans="1:9" ht="21" customHeight="1" x14ac:dyDescent="0.25">
      <c r="A1" s="1"/>
      <c r="B1" s="1"/>
      <c r="C1" s="1"/>
      <c r="D1" s="1"/>
      <c r="E1" s="1"/>
      <c r="F1" s="1"/>
      <c r="G1" s="1"/>
      <c r="H1" s="1"/>
      <c r="I1" s="1"/>
    </row>
    <row r="2" spans="1:9" ht="21" customHeight="1" x14ac:dyDescent="0.25">
      <c r="A2" s="1"/>
      <c r="B2" s="227" t="s">
        <v>136</v>
      </c>
      <c r="C2" s="227"/>
      <c r="D2" s="1"/>
      <c r="E2" s="1"/>
      <c r="F2" s="1"/>
      <c r="G2" s="1"/>
      <c r="H2" s="1"/>
      <c r="I2" s="1"/>
    </row>
    <row r="3" spans="1:9" ht="21" customHeight="1" x14ac:dyDescent="0.25">
      <c r="A3" s="1"/>
      <c r="B3" s="1"/>
      <c r="C3" s="1"/>
      <c r="D3" s="1"/>
      <c r="E3" s="1"/>
      <c r="F3" s="1"/>
      <c r="G3" s="1"/>
      <c r="H3" s="1"/>
      <c r="I3" s="1"/>
    </row>
    <row r="4" spans="1:9" ht="22" customHeight="1" thickBot="1" x14ac:dyDescent="0.3">
      <c r="A4" s="1"/>
      <c r="B4" s="1"/>
      <c r="C4" s="1"/>
      <c r="D4" s="1"/>
      <c r="E4" s="1"/>
      <c r="F4" s="1"/>
      <c r="G4" s="1"/>
      <c r="H4" s="1"/>
      <c r="I4" s="1"/>
    </row>
    <row r="5" spans="1:9" ht="22" customHeight="1" thickBot="1" x14ac:dyDescent="0.3">
      <c r="A5" s="1"/>
      <c r="B5" s="25" t="s">
        <v>127</v>
      </c>
      <c r="C5" s="136">
        <v>13.8</v>
      </c>
      <c r="D5" s="1"/>
      <c r="E5" s="1"/>
      <c r="F5" s="1"/>
      <c r="G5" s="1"/>
      <c r="H5" s="1"/>
      <c r="I5" s="1"/>
    </row>
    <row r="6" spans="1:9" ht="22" customHeight="1" thickBot="1" x14ac:dyDescent="0.3">
      <c r="A6" s="1"/>
      <c r="B6" s="25" t="s">
        <v>137</v>
      </c>
      <c r="C6" s="136">
        <v>12</v>
      </c>
      <c r="D6" s="310">
        <f>VLOOKUP(C6,copper_wire_table,4,FALSE)</f>
        <v>1.5875160012191404E-3</v>
      </c>
      <c r="E6" s="17" t="s">
        <v>31</v>
      </c>
      <c r="F6" s="1"/>
      <c r="G6" s="1"/>
      <c r="H6" s="1"/>
      <c r="I6" s="1"/>
    </row>
    <row r="7" spans="1:9" ht="21" customHeight="1" x14ac:dyDescent="0.25">
      <c r="A7" s="1"/>
      <c r="B7" s="1"/>
      <c r="C7" s="1"/>
      <c r="D7" s="1"/>
      <c r="E7" s="1"/>
      <c r="F7" s="1"/>
      <c r="G7" s="1"/>
      <c r="H7" s="1"/>
      <c r="I7" s="1"/>
    </row>
    <row r="8" spans="1:9" ht="22" customHeight="1" thickBot="1" x14ac:dyDescent="0.3">
      <c r="A8" s="1"/>
      <c r="B8" s="1"/>
      <c r="C8" s="34" t="s">
        <v>64</v>
      </c>
      <c r="D8" s="1"/>
      <c r="E8" s="1"/>
      <c r="F8" s="1"/>
      <c r="G8" s="1"/>
      <c r="H8" s="1"/>
      <c r="I8" s="1"/>
    </row>
    <row r="9" spans="1:9" ht="22" customHeight="1" thickBot="1" x14ac:dyDescent="0.3">
      <c r="A9" s="1"/>
      <c r="B9" s="1"/>
      <c r="C9" s="1"/>
      <c r="D9" s="1">
        <v>5</v>
      </c>
      <c r="E9" s="241">
        <v>10</v>
      </c>
      <c r="F9" s="1">
        <v>15</v>
      </c>
      <c r="G9" s="242">
        <v>20</v>
      </c>
      <c r="H9" s="1">
        <v>25</v>
      </c>
      <c r="I9" s="72">
        <v>30</v>
      </c>
    </row>
    <row r="10" spans="1:9" ht="21" customHeight="1" x14ac:dyDescent="0.25">
      <c r="A10" s="1"/>
      <c r="B10" s="1" t="s">
        <v>128</v>
      </c>
      <c r="C10" s="7">
        <v>10</v>
      </c>
      <c r="D10" s="159">
        <f t="shared" ref="D10:I13" si="0">cg_volts/D$9</f>
        <v>2.7600000000000002</v>
      </c>
      <c r="E10" s="243">
        <f t="shared" si="0"/>
        <v>1.3800000000000001</v>
      </c>
      <c r="F10" s="244">
        <f t="shared" si="0"/>
        <v>0.92</v>
      </c>
      <c r="G10" s="245">
        <f t="shared" si="0"/>
        <v>0.69000000000000006</v>
      </c>
      <c r="H10" s="244">
        <f t="shared" si="0"/>
        <v>0.55200000000000005</v>
      </c>
      <c r="I10" s="246">
        <f t="shared" si="0"/>
        <v>0.46</v>
      </c>
    </row>
    <row r="11" spans="1:9" ht="21" customHeight="1" x14ac:dyDescent="0.25">
      <c r="A11" s="1"/>
      <c r="B11" s="1"/>
      <c r="C11" s="7">
        <v>25</v>
      </c>
      <c r="D11" s="169">
        <f t="shared" si="0"/>
        <v>2.7600000000000002</v>
      </c>
      <c r="E11" s="247">
        <f t="shared" si="0"/>
        <v>1.3800000000000001</v>
      </c>
      <c r="F11" s="1">
        <f t="shared" si="0"/>
        <v>0.92</v>
      </c>
      <c r="G11" s="242">
        <f t="shared" si="0"/>
        <v>0.69000000000000006</v>
      </c>
      <c r="H11" s="1">
        <f t="shared" si="0"/>
        <v>0.55200000000000005</v>
      </c>
      <c r="I11" s="248">
        <f t="shared" si="0"/>
        <v>0.46</v>
      </c>
    </row>
    <row r="12" spans="1:9" ht="21" customHeight="1" x14ac:dyDescent="0.25">
      <c r="A12" s="1"/>
      <c r="B12" s="1"/>
      <c r="C12" s="7">
        <v>50</v>
      </c>
      <c r="D12" s="169">
        <f t="shared" si="0"/>
        <v>2.7600000000000002</v>
      </c>
      <c r="E12" s="247">
        <f t="shared" si="0"/>
        <v>1.3800000000000001</v>
      </c>
      <c r="F12" s="1">
        <f t="shared" si="0"/>
        <v>0.92</v>
      </c>
      <c r="G12" s="242">
        <f t="shared" si="0"/>
        <v>0.69000000000000006</v>
      </c>
      <c r="H12" s="1">
        <f t="shared" si="0"/>
        <v>0.55200000000000005</v>
      </c>
      <c r="I12" s="248">
        <f t="shared" si="0"/>
        <v>0.46</v>
      </c>
    </row>
    <row r="13" spans="1:9" ht="22" customHeight="1" thickBot="1" x14ac:dyDescent="0.3">
      <c r="A13" s="1"/>
      <c r="B13" s="1"/>
      <c r="C13" s="7">
        <v>100</v>
      </c>
      <c r="D13" s="204">
        <f t="shared" si="0"/>
        <v>2.7600000000000002</v>
      </c>
      <c r="E13" s="249">
        <f t="shared" si="0"/>
        <v>1.3800000000000001</v>
      </c>
      <c r="F13" s="95">
        <f t="shared" si="0"/>
        <v>0.92</v>
      </c>
      <c r="G13" s="250">
        <f t="shared" si="0"/>
        <v>0.69000000000000006</v>
      </c>
      <c r="H13" s="95">
        <f t="shared" si="0"/>
        <v>0.55200000000000005</v>
      </c>
      <c r="I13" s="251">
        <f t="shared" si="0"/>
        <v>0.46</v>
      </c>
    </row>
    <row r="14" spans="1:9" ht="22" customHeight="1" thickBot="1" x14ac:dyDescent="0.3">
      <c r="A14" s="1"/>
      <c r="B14" s="1"/>
      <c r="C14" s="1"/>
      <c r="D14" s="1">
        <v>5</v>
      </c>
      <c r="E14" s="241">
        <v>10</v>
      </c>
      <c r="F14" s="1">
        <v>15</v>
      </c>
      <c r="G14" s="242">
        <v>20</v>
      </c>
      <c r="H14" s="1">
        <v>25</v>
      </c>
      <c r="I14" s="72">
        <v>30</v>
      </c>
    </row>
    <row r="15" spans="1:9" ht="21" customHeight="1" x14ac:dyDescent="0.25">
      <c r="A15" s="1"/>
      <c r="B15" s="1" t="s">
        <v>129</v>
      </c>
      <c r="C15" s="7">
        <f>C10</f>
        <v>10</v>
      </c>
      <c r="D15" s="252">
        <f t="shared" ref="D15:I18" si="1">cg_volts*D$14</f>
        <v>69</v>
      </c>
      <c r="E15" s="253">
        <f t="shared" si="1"/>
        <v>138</v>
      </c>
      <c r="F15" s="254">
        <f t="shared" si="1"/>
        <v>207</v>
      </c>
      <c r="G15" s="255">
        <f t="shared" si="1"/>
        <v>276</v>
      </c>
      <c r="H15" s="254">
        <f t="shared" si="1"/>
        <v>345</v>
      </c>
      <c r="I15" s="256">
        <f t="shared" si="1"/>
        <v>414</v>
      </c>
    </row>
    <row r="16" spans="1:9" ht="21" customHeight="1" x14ac:dyDescent="0.25">
      <c r="A16" s="1"/>
      <c r="B16" s="1"/>
      <c r="C16" s="7">
        <f>C11</f>
        <v>25</v>
      </c>
      <c r="D16" s="257">
        <f t="shared" si="1"/>
        <v>69</v>
      </c>
      <c r="E16" s="258">
        <f t="shared" si="1"/>
        <v>138</v>
      </c>
      <c r="F16" s="6">
        <f t="shared" si="1"/>
        <v>207</v>
      </c>
      <c r="G16" s="259">
        <f t="shared" si="1"/>
        <v>276</v>
      </c>
      <c r="H16" s="6">
        <f t="shared" si="1"/>
        <v>345</v>
      </c>
      <c r="I16" s="260">
        <f t="shared" si="1"/>
        <v>414</v>
      </c>
    </row>
    <row r="17" spans="1:9" ht="21" customHeight="1" x14ac:dyDescent="0.25">
      <c r="A17" s="1"/>
      <c r="B17" s="1"/>
      <c r="C17" s="7">
        <f>C12</f>
        <v>50</v>
      </c>
      <c r="D17" s="257">
        <f t="shared" si="1"/>
        <v>69</v>
      </c>
      <c r="E17" s="258">
        <f t="shared" si="1"/>
        <v>138</v>
      </c>
      <c r="F17" s="6">
        <f t="shared" si="1"/>
        <v>207</v>
      </c>
      <c r="G17" s="259">
        <f t="shared" si="1"/>
        <v>276</v>
      </c>
      <c r="H17" s="6">
        <f t="shared" si="1"/>
        <v>345</v>
      </c>
      <c r="I17" s="260">
        <f t="shared" si="1"/>
        <v>414</v>
      </c>
    </row>
    <row r="18" spans="1:9" ht="22" customHeight="1" thickBot="1" x14ac:dyDescent="0.3">
      <c r="A18" s="1"/>
      <c r="B18" s="1"/>
      <c r="C18" s="7">
        <f>C13</f>
        <v>100</v>
      </c>
      <c r="D18" s="261">
        <f t="shared" si="1"/>
        <v>69</v>
      </c>
      <c r="E18" s="262">
        <f t="shared" si="1"/>
        <v>138</v>
      </c>
      <c r="F18" s="263">
        <f t="shared" si="1"/>
        <v>207</v>
      </c>
      <c r="G18" s="264">
        <f t="shared" si="1"/>
        <v>276</v>
      </c>
      <c r="H18" s="263">
        <f t="shared" si="1"/>
        <v>345</v>
      </c>
      <c r="I18" s="265">
        <f t="shared" si="1"/>
        <v>414</v>
      </c>
    </row>
    <row r="19" spans="1:9" ht="22" customHeight="1" thickBot="1" x14ac:dyDescent="0.3">
      <c r="A19" s="1"/>
      <c r="B19" s="1"/>
      <c r="C19" s="1"/>
      <c r="D19" s="1">
        <v>5</v>
      </c>
      <c r="E19" s="241">
        <v>10</v>
      </c>
      <c r="F19" s="1">
        <v>15</v>
      </c>
      <c r="G19" s="242">
        <v>20</v>
      </c>
      <c r="H19" s="1">
        <v>25</v>
      </c>
      <c r="I19" s="72">
        <v>30</v>
      </c>
    </row>
    <row r="20" spans="1:9" ht="21" customHeight="1" x14ac:dyDescent="0.25">
      <c r="A20" s="1"/>
      <c r="B20" s="1" t="s">
        <v>130</v>
      </c>
      <c r="C20" s="7">
        <f>C10</f>
        <v>10</v>
      </c>
      <c r="D20" s="266">
        <f t="shared" ref="D20:I23" si="2">cg_ohmsperfoot*$C20*2</f>
        <v>3.1750320024382807E-2</v>
      </c>
      <c r="E20" s="267">
        <f t="shared" si="2"/>
        <v>3.1750320024382807E-2</v>
      </c>
      <c r="F20" s="268">
        <f t="shared" si="2"/>
        <v>3.1750320024382807E-2</v>
      </c>
      <c r="G20" s="269">
        <f t="shared" si="2"/>
        <v>3.1750320024382807E-2</v>
      </c>
      <c r="H20" s="268">
        <f t="shared" si="2"/>
        <v>3.1750320024382807E-2</v>
      </c>
      <c r="I20" s="270">
        <f t="shared" si="2"/>
        <v>3.1750320024382807E-2</v>
      </c>
    </row>
    <row r="21" spans="1:9" ht="21" customHeight="1" x14ac:dyDescent="0.25">
      <c r="A21" s="1"/>
      <c r="B21" s="1"/>
      <c r="C21" s="7">
        <f>C11</f>
        <v>25</v>
      </c>
      <c r="D21" s="271">
        <f t="shared" si="2"/>
        <v>7.9375800060957027E-2</v>
      </c>
      <c r="E21" s="272">
        <f t="shared" si="2"/>
        <v>7.9375800060957027E-2</v>
      </c>
      <c r="F21" s="3">
        <f t="shared" si="2"/>
        <v>7.9375800060957027E-2</v>
      </c>
      <c r="G21" s="273">
        <f t="shared" si="2"/>
        <v>7.9375800060957027E-2</v>
      </c>
      <c r="H21" s="3">
        <f t="shared" si="2"/>
        <v>7.9375800060957027E-2</v>
      </c>
      <c r="I21" s="274">
        <f t="shared" si="2"/>
        <v>7.9375800060957027E-2</v>
      </c>
    </row>
    <row r="22" spans="1:9" ht="21" customHeight="1" x14ac:dyDescent="0.25">
      <c r="A22" s="1"/>
      <c r="B22" s="1"/>
      <c r="C22" s="7">
        <f>C12</f>
        <v>50</v>
      </c>
      <c r="D22" s="271">
        <f t="shared" si="2"/>
        <v>0.15875160012191405</v>
      </c>
      <c r="E22" s="272">
        <f t="shared" si="2"/>
        <v>0.15875160012191405</v>
      </c>
      <c r="F22" s="3">
        <f t="shared" si="2"/>
        <v>0.15875160012191405</v>
      </c>
      <c r="G22" s="273">
        <f t="shared" si="2"/>
        <v>0.15875160012191405</v>
      </c>
      <c r="H22" s="3">
        <f t="shared" si="2"/>
        <v>0.15875160012191405</v>
      </c>
      <c r="I22" s="274">
        <f t="shared" si="2"/>
        <v>0.15875160012191405</v>
      </c>
    </row>
    <row r="23" spans="1:9" ht="22" customHeight="1" thickBot="1" x14ac:dyDescent="0.3">
      <c r="A23" s="1"/>
      <c r="B23" s="1"/>
      <c r="C23" s="7">
        <f>C13</f>
        <v>100</v>
      </c>
      <c r="D23" s="275">
        <f t="shared" si="2"/>
        <v>0.31750320024382811</v>
      </c>
      <c r="E23" s="276">
        <f t="shared" si="2"/>
        <v>0.31750320024382811</v>
      </c>
      <c r="F23" s="277">
        <f t="shared" si="2"/>
        <v>0.31750320024382811</v>
      </c>
      <c r="G23" s="278">
        <f t="shared" si="2"/>
        <v>0.31750320024382811</v>
      </c>
      <c r="H23" s="277">
        <f t="shared" si="2"/>
        <v>0.31750320024382811</v>
      </c>
      <c r="I23" s="279">
        <f t="shared" si="2"/>
        <v>0.31750320024382811</v>
      </c>
    </row>
    <row r="24" spans="1:9" ht="22" customHeight="1" thickBot="1" x14ac:dyDescent="0.3">
      <c r="A24" s="1"/>
      <c r="B24" s="1"/>
      <c r="C24" s="1"/>
      <c r="D24" s="1">
        <v>5</v>
      </c>
      <c r="E24" s="241">
        <v>10</v>
      </c>
      <c r="F24" s="1">
        <v>15</v>
      </c>
      <c r="G24" s="242">
        <v>20</v>
      </c>
      <c r="H24" s="1">
        <v>25</v>
      </c>
      <c r="I24" s="72">
        <v>30</v>
      </c>
    </row>
    <row r="25" spans="1:9" ht="21" customHeight="1" x14ac:dyDescent="0.25">
      <c r="A25" s="1"/>
      <c r="B25" s="1" t="s">
        <v>138</v>
      </c>
      <c r="C25" s="7">
        <f>C15</f>
        <v>10</v>
      </c>
      <c r="D25" s="266">
        <f t="shared" ref="D25:I28" si="3">D10+D20</f>
        <v>2.7917503200243829</v>
      </c>
      <c r="E25" s="267">
        <f t="shared" si="3"/>
        <v>1.4117503200243828</v>
      </c>
      <c r="F25" s="268">
        <f t="shared" si="3"/>
        <v>0.95175032002438287</v>
      </c>
      <c r="G25" s="269">
        <f t="shared" si="3"/>
        <v>0.72175032002438289</v>
      </c>
      <c r="H25" s="268">
        <f t="shared" si="3"/>
        <v>0.58375032002438287</v>
      </c>
      <c r="I25" s="270">
        <f t="shared" si="3"/>
        <v>0.49175032002438285</v>
      </c>
    </row>
    <row r="26" spans="1:9" ht="21" customHeight="1" x14ac:dyDescent="0.25">
      <c r="A26" s="1"/>
      <c r="B26" s="1"/>
      <c r="C26" s="7">
        <f>C16</f>
        <v>25</v>
      </c>
      <c r="D26" s="271">
        <f t="shared" si="3"/>
        <v>2.8393758000609575</v>
      </c>
      <c r="E26" s="272">
        <f t="shared" si="3"/>
        <v>1.4593758000609571</v>
      </c>
      <c r="F26" s="3">
        <f t="shared" si="3"/>
        <v>0.99937580006095705</v>
      </c>
      <c r="G26" s="273">
        <f t="shared" si="3"/>
        <v>0.76937580006095707</v>
      </c>
      <c r="H26" s="3">
        <f t="shared" si="3"/>
        <v>0.63137580006095706</v>
      </c>
      <c r="I26" s="274">
        <f t="shared" si="3"/>
        <v>0.53937580006095709</v>
      </c>
    </row>
    <row r="27" spans="1:9" ht="21" customHeight="1" x14ac:dyDescent="0.25">
      <c r="A27" s="1"/>
      <c r="B27" s="1"/>
      <c r="C27" s="7">
        <f>C17</f>
        <v>50</v>
      </c>
      <c r="D27" s="271">
        <f t="shared" si="3"/>
        <v>2.9187516001219143</v>
      </c>
      <c r="E27" s="272">
        <f t="shared" si="3"/>
        <v>1.5387516001219141</v>
      </c>
      <c r="F27" s="3">
        <f t="shared" si="3"/>
        <v>1.0787516001219142</v>
      </c>
      <c r="G27" s="273">
        <f t="shared" si="3"/>
        <v>0.84875160012191408</v>
      </c>
      <c r="H27" s="3">
        <f t="shared" si="3"/>
        <v>0.71075160012191407</v>
      </c>
      <c r="I27" s="274">
        <f t="shared" si="3"/>
        <v>0.6187516001219141</v>
      </c>
    </row>
    <row r="28" spans="1:9" ht="22" customHeight="1" thickBot="1" x14ac:dyDescent="0.3">
      <c r="A28" s="1"/>
      <c r="B28" s="1"/>
      <c r="C28" s="7">
        <f>C18</f>
        <v>100</v>
      </c>
      <c r="D28" s="275">
        <f t="shared" si="3"/>
        <v>3.0775032002438283</v>
      </c>
      <c r="E28" s="276">
        <f t="shared" si="3"/>
        <v>1.6975032002438282</v>
      </c>
      <c r="F28" s="277">
        <f t="shared" si="3"/>
        <v>1.2375032002438282</v>
      </c>
      <c r="G28" s="278">
        <f t="shared" si="3"/>
        <v>1.0075032002438282</v>
      </c>
      <c r="H28" s="277">
        <f t="shared" si="3"/>
        <v>0.8695032002438281</v>
      </c>
      <c r="I28" s="279">
        <f t="shared" si="3"/>
        <v>0.77750320024382813</v>
      </c>
    </row>
    <row r="29" spans="1:9" ht="22" customHeight="1" thickBot="1" x14ac:dyDescent="0.3">
      <c r="A29" s="1"/>
      <c r="B29" s="1"/>
      <c r="C29" s="1"/>
      <c r="D29" s="1">
        <v>5</v>
      </c>
      <c r="E29" s="241">
        <v>10</v>
      </c>
      <c r="F29" s="1">
        <v>15</v>
      </c>
      <c r="G29" s="242">
        <v>20</v>
      </c>
      <c r="H29" s="1">
        <v>25</v>
      </c>
      <c r="I29" s="72">
        <v>30</v>
      </c>
    </row>
    <row r="30" spans="1:9" ht="21" customHeight="1" x14ac:dyDescent="0.25">
      <c r="A30" s="1"/>
      <c r="B30" s="1" t="s">
        <v>132</v>
      </c>
      <c r="C30" s="7">
        <f>C25</f>
        <v>10</v>
      </c>
      <c r="D30" s="280">
        <f t="shared" ref="D30:I33" si="4">cg_volts/D25</f>
        <v>4.9431354591478911</v>
      </c>
      <c r="E30" s="281">
        <f t="shared" si="4"/>
        <v>9.7750996080961787</v>
      </c>
      <c r="F30" s="282">
        <f t="shared" si="4"/>
        <v>14.499601113500502</v>
      </c>
      <c r="G30" s="283">
        <f t="shared" si="4"/>
        <v>19.120185495080619</v>
      </c>
      <c r="H30" s="282">
        <f t="shared" si="4"/>
        <v>23.640243999221418</v>
      </c>
      <c r="I30" s="284">
        <f t="shared" si="4"/>
        <v>28.063021899641559</v>
      </c>
    </row>
    <row r="31" spans="1:9" ht="21" customHeight="1" x14ac:dyDescent="0.25">
      <c r="A31" s="1"/>
      <c r="B31" s="1"/>
      <c r="C31" s="7">
        <f>C26</f>
        <v>25</v>
      </c>
      <c r="D31" s="285">
        <f t="shared" si="4"/>
        <v>4.8602231517588246</v>
      </c>
      <c r="E31" s="286">
        <f t="shared" si="4"/>
        <v>9.4560975996885688</v>
      </c>
      <c r="F31" s="287">
        <f t="shared" si="4"/>
        <v>13.808619339349891</v>
      </c>
      <c r="G31" s="288">
        <f t="shared" si="4"/>
        <v>17.936618228577814</v>
      </c>
      <c r="H31" s="287">
        <f t="shared" si="4"/>
        <v>21.857030311690217</v>
      </c>
      <c r="I31" s="289">
        <f t="shared" si="4"/>
        <v>25.58513006783101</v>
      </c>
    </row>
    <row r="32" spans="1:9" ht="21" customHeight="1" x14ac:dyDescent="0.25">
      <c r="A32" s="1"/>
      <c r="B32" s="1"/>
      <c r="C32" s="7">
        <f>C27</f>
        <v>50</v>
      </c>
      <c r="D32" s="285">
        <f t="shared" si="4"/>
        <v>4.7280487998442844</v>
      </c>
      <c r="E32" s="286">
        <f t="shared" si="4"/>
        <v>8.9683091142889069</v>
      </c>
      <c r="F32" s="287">
        <f t="shared" si="4"/>
        <v>12.792565033915505</v>
      </c>
      <c r="G32" s="288">
        <f t="shared" si="4"/>
        <v>16.259174059899006</v>
      </c>
      <c r="H32" s="287">
        <f t="shared" si="4"/>
        <v>19.416066031554355</v>
      </c>
      <c r="I32" s="289">
        <f t="shared" si="4"/>
        <v>22.30297262630263</v>
      </c>
    </row>
    <row r="33" spans="1:9" ht="22" customHeight="1" thickBot="1" x14ac:dyDescent="0.3">
      <c r="A33" s="1"/>
      <c r="B33" s="1"/>
      <c r="C33" s="7">
        <f>C28</f>
        <v>100</v>
      </c>
      <c r="D33" s="290">
        <f t="shared" si="4"/>
        <v>4.4841545571444534</v>
      </c>
      <c r="E33" s="291">
        <f t="shared" si="4"/>
        <v>8.1295870299495032</v>
      </c>
      <c r="F33" s="292">
        <f t="shared" si="4"/>
        <v>11.151486313151315</v>
      </c>
      <c r="G33" s="293">
        <f t="shared" si="4"/>
        <v>13.697226963309129</v>
      </c>
      <c r="H33" s="292">
        <f t="shared" si="4"/>
        <v>15.871131924678567</v>
      </c>
      <c r="I33" s="294">
        <f t="shared" si="4"/>
        <v>17.749123084859669</v>
      </c>
    </row>
    <row r="34" spans="1:9" ht="22" customHeight="1" thickBot="1" x14ac:dyDescent="0.3">
      <c r="A34" s="1"/>
      <c r="B34" s="1"/>
      <c r="C34" s="1"/>
      <c r="D34" s="1">
        <v>5</v>
      </c>
      <c r="E34" s="241">
        <v>10</v>
      </c>
      <c r="F34" s="1">
        <v>15</v>
      </c>
      <c r="G34" s="242">
        <v>20</v>
      </c>
      <c r="H34" s="1">
        <v>25</v>
      </c>
      <c r="I34" s="72">
        <v>30</v>
      </c>
    </row>
    <row r="35" spans="1:9" ht="21" customHeight="1" x14ac:dyDescent="0.25">
      <c r="A35" s="1"/>
      <c r="B35" s="1" t="s">
        <v>133</v>
      </c>
      <c r="C35" s="7">
        <f>C30</f>
        <v>10</v>
      </c>
      <c r="D35" s="252">
        <f t="shared" ref="D35:I38" si="5">D30*D30*D10</f>
        <v>67.439463342259245</v>
      </c>
      <c r="E35" s="253">
        <f t="shared" si="5"/>
        <v>131.86254984051885</v>
      </c>
      <c r="F35" s="254">
        <f t="shared" si="5"/>
        <v>193.419357854575</v>
      </c>
      <c r="G35" s="255">
        <f t="shared" si="5"/>
        <v>252.251230422741</v>
      </c>
      <c r="H35" s="254">
        <f t="shared" si="5"/>
        <v>308.49134726118382</v>
      </c>
      <c r="I35" s="256">
        <f t="shared" si="5"/>
        <v>362.26527114429041</v>
      </c>
    </row>
    <row r="36" spans="1:9" ht="21" customHeight="1" x14ac:dyDescent="0.25">
      <c r="A36" s="1"/>
      <c r="B36" s="1"/>
      <c r="C36" s="7">
        <f>C31</f>
        <v>25</v>
      </c>
      <c r="D36" s="257">
        <f t="shared" si="5"/>
        <v>65.196082674303256</v>
      </c>
      <c r="E36" s="258">
        <f t="shared" si="5"/>
        <v>123.39653890447356</v>
      </c>
      <c r="F36" s="6">
        <f t="shared" si="5"/>
        <v>175.42373061434239</v>
      </c>
      <c r="G36" s="259">
        <f t="shared" si="5"/>
        <v>221.98836869964745</v>
      </c>
      <c r="H36" s="6">
        <f t="shared" si="5"/>
        <v>263.70683527347205</v>
      </c>
      <c r="I36" s="260">
        <f t="shared" si="5"/>
        <v>301.11548507040203</v>
      </c>
    </row>
    <row r="37" spans="1:9" ht="21" customHeight="1" x14ac:dyDescent="0.25">
      <c r="A37" s="1"/>
      <c r="B37" s="1"/>
      <c r="C37" s="7">
        <f>C32</f>
        <v>50</v>
      </c>
      <c r="D37" s="257">
        <f t="shared" si="5"/>
        <v>61.698269452236779</v>
      </c>
      <c r="E37" s="258">
        <f t="shared" si="5"/>
        <v>110.99418434982373</v>
      </c>
      <c r="F37" s="6">
        <f t="shared" si="5"/>
        <v>150.55774253520102</v>
      </c>
      <c r="G37" s="259">
        <f t="shared" si="5"/>
        <v>182.40891136596403</v>
      </c>
      <c r="H37" s="6">
        <f t="shared" si="5"/>
        <v>208.09495831820675</v>
      </c>
      <c r="I37" s="260">
        <f t="shared" si="5"/>
        <v>228.81439046601804</v>
      </c>
    </row>
    <row r="38" spans="1:9" ht="22" customHeight="1" thickBot="1" x14ac:dyDescent="0.3">
      <c r="A38" s="1"/>
      <c r="B38" s="1"/>
      <c r="C38" s="7">
        <f>C33</f>
        <v>100</v>
      </c>
      <c r="D38" s="261">
        <f t="shared" si="5"/>
        <v>55.497092174911863</v>
      </c>
      <c r="E38" s="262">
        <f t="shared" si="5"/>
        <v>91.204455682982015</v>
      </c>
      <c r="F38" s="263">
        <f t="shared" si="5"/>
        <v>114.40719523300902</v>
      </c>
      <c r="G38" s="264">
        <f t="shared" si="5"/>
        <v>129.4536782742378</v>
      </c>
      <c r="H38" s="263">
        <f t="shared" si="5"/>
        <v>139.04484137094425</v>
      </c>
      <c r="I38" s="265">
        <f t="shared" si="5"/>
        <v>144.91443032948928</v>
      </c>
    </row>
    <row r="39" spans="1:9" ht="22" customHeight="1" thickBot="1" x14ac:dyDescent="0.3">
      <c r="A39" s="1"/>
      <c r="B39" s="1"/>
      <c r="C39" s="1"/>
      <c r="D39" s="1">
        <v>5</v>
      </c>
      <c r="E39" s="241">
        <v>10</v>
      </c>
      <c r="F39" s="1">
        <v>15</v>
      </c>
      <c r="G39" s="242">
        <v>20</v>
      </c>
      <c r="H39" s="1">
        <v>25</v>
      </c>
      <c r="I39" s="72">
        <v>30</v>
      </c>
    </row>
    <row r="40" spans="1:9" ht="21" customHeight="1" x14ac:dyDescent="0.25">
      <c r="A40" s="1"/>
      <c r="B40" s="1" t="s">
        <v>134</v>
      </c>
      <c r="C40" s="7">
        <f>C35</f>
        <v>10</v>
      </c>
      <c r="D40" s="295">
        <f t="shared" ref="D40:I43" si="6">D35/D15</f>
        <v>0.97738352669940931</v>
      </c>
      <c r="E40" s="296">
        <f t="shared" si="6"/>
        <v>0.95552572348202069</v>
      </c>
      <c r="F40" s="297">
        <f t="shared" si="6"/>
        <v>0.93439303311388888</v>
      </c>
      <c r="G40" s="298">
        <f t="shared" si="6"/>
        <v>0.91395373341572828</v>
      </c>
      <c r="H40" s="297">
        <f t="shared" si="6"/>
        <v>0.89417781814835895</v>
      </c>
      <c r="I40" s="299">
        <f t="shared" si="6"/>
        <v>0.87503688682195746</v>
      </c>
    </row>
    <row r="41" spans="1:9" ht="21" customHeight="1" x14ac:dyDescent="0.25">
      <c r="A41" s="1"/>
      <c r="B41" s="1"/>
      <c r="C41" s="7">
        <f>C36</f>
        <v>25</v>
      </c>
      <c r="D41" s="300">
        <f t="shared" si="6"/>
        <v>0.94487076339569931</v>
      </c>
      <c r="E41" s="301">
        <f t="shared" si="6"/>
        <v>0.89417781814835917</v>
      </c>
      <c r="F41" s="302">
        <f t="shared" si="6"/>
        <v>0.8474576358180792</v>
      </c>
      <c r="G41" s="303">
        <f t="shared" si="6"/>
        <v>0.80430568369437483</v>
      </c>
      <c r="H41" s="302">
        <f t="shared" si="6"/>
        <v>0.76436763847383205</v>
      </c>
      <c r="I41" s="304">
        <f t="shared" si="6"/>
        <v>0.72733208954203388</v>
      </c>
    </row>
    <row r="42" spans="1:9" ht="21" customHeight="1" x14ac:dyDescent="0.25">
      <c r="A42" s="1"/>
      <c r="B42" s="1"/>
      <c r="C42" s="7">
        <f>C37</f>
        <v>50</v>
      </c>
      <c r="D42" s="300">
        <f t="shared" si="6"/>
        <v>0.89417781814835917</v>
      </c>
      <c r="E42" s="301">
        <f t="shared" si="6"/>
        <v>0.80430568369437483</v>
      </c>
      <c r="F42" s="302">
        <f t="shared" si="6"/>
        <v>0.72733208954203388</v>
      </c>
      <c r="G42" s="303">
        <f t="shared" si="6"/>
        <v>0.66090185277523195</v>
      </c>
      <c r="H42" s="302">
        <f t="shared" si="6"/>
        <v>0.60317379222668621</v>
      </c>
      <c r="I42" s="304">
        <f t="shared" si="6"/>
        <v>0.55269176441067158</v>
      </c>
    </row>
    <row r="43" spans="1:9" ht="22" customHeight="1" thickBot="1" x14ac:dyDescent="0.3">
      <c r="A43" s="1"/>
      <c r="B43" s="1"/>
      <c r="C43" s="7">
        <f>C38</f>
        <v>100</v>
      </c>
      <c r="D43" s="305">
        <f t="shared" si="6"/>
        <v>0.80430568369437483</v>
      </c>
      <c r="E43" s="306">
        <f t="shared" si="6"/>
        <v>0.66090185277523195</v>
      </c>
      <c r="F43" s="307">
        <f t="shared" si="6"/>
        <v>0.55269176441067158</v>
      </c>
      <c r="G43" s="308">
        <f t="shared" si="6"/>
        <v>0.46903506621100655</v>
      </c>
      <c r="H43" s="307">
        <f t="shared" si="6"/>
        <v>0.40302852571288189</v>
      </c>
      <c r="I43" s="309">
        <f t="shared" si="6"/>
        <v>0.35003485586833161</v>
      </c>
    </row>
    <row r="44" spans="1:9" ht="22" customHeight="1" thickBot="1" x14ac:dyDescent="0.3">
      <c r="A44" s="1"/>
      <c r="B44" s="1"/>
      <c r="C44" s="1"/>
      <c r="D44" s="1">
        <v>5</v>
      </c>
      <c r="E44" s="241">
        <v>10</v>
      </c>
      <c r="F44" s="1">
        <v>15</v>
      </c>
      <c r="G44" s="242">
        <v>20</v>
      </c>
      <c r="H44" s="1">
        <v>25</v>
      </c>
      <c r="I44" s="72">
        <v>30</v>
      </c>
    </row>
    <row r="45" spans="1:9" ht="21" customHeight="1" x14ac:dyDescent="0.25">
      <c r="A45" s="1"/>
      <c r="B45" s="1" t="s">
        <v>135</v>
      </c>
      <c r="C45" s="7">
        <f>C40</f>
        <v>10</v>
      </c>
      <c r="D45" s="252">
        <f t="shared" ref="D45:I48" si="7">D30*D30*D20</f>
        <v>0.77580599398165351</v>
      </c>
      <c r="E45" s="253">
        <f t="shared" si="7"/>
        <v>3.0338247512084067</v>
      </c>
      <c r="F45" s="254">
        <f t="shared" si="7"/>
        <v>6.6751375117319309</v>
      </c>
      <c r="G45" s="255">
        <f t="shared" si="7"/>
        <v>11.607329409371529</v>
      </c>
      <c r="H45" s="254">
        <f t="shared" si="7"/>
        <v>17.744019928071729</v>
      </c>
      <c r="I45" s="256">
        <f t="shared" si="7"/>
        <v>25.004431070763108</v>
      </c>
    </row>
    <row r="46" spans="1:9" ht="21" customHeight="1" x14ac:dyDescent="0.25">
      <c r="A46" s="1"/>
      <c r="B46" s="1"/>
      <c r="C46" s="7">
        <f>C41</f>
        <v>25</v>
      </c>
      <c r="D46" s="257">
        <f t="shared" si="7"/>
        <v>1.8749968199685214</v>
      </c>
      <c r="E46" s="258">
        <f t="shared" si="7"/>
        <v>7.0976079712286939</v>
      </c>
      <c r="F46" s="6">
        <f t="shared" si="7"/>
        <v>15.135216268686117</v>
      </c>
      <c r="G46" s="259">
        <f t="shared" si="7"/>
        <v>25.536962854726415</v>
      </c>
      <c r="H46" s="6">
        <f t="shared" si="7"/>
        <v>37.920183027852978</v>
      </c>
      <c r="I46" s="260">
        <f t="shared" si="7"/>
        <v>51.959309865665915</v>
      </c>
    </row>
    <row r="47" spans="1:9" ht="21" customHeight="1" x14ac:dyDescent="0.25">
      <c r="A47" s="1"/>
      <c r="B47" s="1"/>
      <c r="C47" s="7">
        <f>C42</f>
        <v>50</v>
      </c>
      <c r="D47" s="257">
        <f t="shared" si="7"/>
        <v>3.548803985614347</v>
      </c>
      <c r="E47" s="258">
        <f t="shared" si="7"/>
        <v>12.768481427363207</v>
      </c>
      <c r="F47" s="6">
        <f t="shared" si="7"/>
        <v>25.979654932832958</v>
      </c>
      <c r="G47" s="259">
        <f t="shared" si="7"/>
        <v>41.96769066064229</v>
      </c>
      <c r="H47" s="6">
        <f t="shared" si="7"/>
        <v>59.846752917243343</v>
      </c>
      <c r="I47" s="260">
        <f t="shared" si="7"/>
        <v>78.966631776958252</v>
      </c>
    </row>
    <row r="48" spans="1:9" ht="22" customHeight="1" thickBot="1" x14ac:dyDescent="0.3">
      <c r="A48" s="1"/>
      <c r="B48" s="1"/>
      <c r="C48" s="7">
        <f>C43</f>
        <v>100</v>
      </c>
      <c r="D48" s="261">
        <f t="shared" si="7"/>
        <v>6.3842407136816037</v>
      </c>
      <c r="E48" s="262">
        <f t="shared" si="7"/>
        <v>20.983845330321145</v>
      </c>
      <c r="F48" s="263">
        <f t="shared" si="7"/>
        <v>39.483315888479126</v>
      </c>
      <c r="G48" s="264">
        <f t="shared" si="7"/>
        <v>59.568053819428151</v>
      </c>
      <c r="H48" s="263">
        <f t="shared" si="7"/>
        <v>79.976779189619975</v>
      </c>
      <c r="I48" s="265">
        <f t="shared" si="7"/>
        <v>100.02346824157415</v>
      </c>
    </row>
  </sheetData>
  <dataValidations count="1">
    <dataValidation type="list" allowBlank="1" showInputMessage="1" showErrorMessage="1" sqref="C6" xr:uid="{00000000-0002-0000-0400-000000000000}">
      <formula1>copper_wire_choices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91"/>
  <sheetViews>
    <sheetView workbookViewId="0">
      <selection activeCell="C16" sqref="C16"/>
    </sheetView>
  </sheetViews>
  <sheetFormatPr baseColWidth="10" defaultColWidth="10.83203125" defaultRowHeight="21" customHeight="1" x14ac:dyDescent="0.25"/>
  <cols>
    <col min="1" max="1" width="3.83203125" style="1" customWidth="1"/>
    <col min="2" max="16384" width="10.83203125" style="1"/>
  </cols>
  <sheetData>
    <row r="2" spans="2:8" ht="21" customHeight="1" x14ac:dyDescent="0.25">
      <c r="B2" s="227" t="s">
        <v>139</v>
      </c>
    </row>
    <row r="4" spans="2:8" ht="21" customHeight="1" x14ac:dyDescent="0.25">
      <c r="B4" s="1">
        <v>0.28000000000000003</v>
      </c>
      <c r="C4" s="1" t="s">
        <v>35</v>
      </c>
      <c r="D4" s="1" t="s">
        <v>140</v>
      </c>
    </row>
    <row r="5" spans="2:8" ht="21" customHeight="1" x14ac:dyDescent="0.25">
      <c r="B5" s="1">
        <v>100</v>
      </c>
      <c r="C5" s="1" t="s">
        <v>64</v>
      </c>
    </row>
    <row r="6" spans="2:8" ht="21" customHeight="1" x14ac:dyDescent="0.25">
      <c r="B6" s="1">
        <f>B4/B5</f>
        <v>2.8000000000000004E-3</v>
      </c>
      <c r="C6" s="1" t="s">
        <v>35</v>
      </c>
      <c r="D6" s="1" t="s">
        <v>141</v>
      </c>
    </row>
    <row r="8" spans="2:8" ht="21" customHeight="1" x14ac:dyDescent="0.25">
      <c r="B8" s="1">
        <v>13.8</v>
      </c>
      <c r="C8" s="1" t="s">
        <v>37</v>
      </c>
      <c r="D8" s="1" t="s">
        <v>142</v>
      </c>
    </row>
    <row r="10" spans="2:8" ht="21" customHeight="1" x14ac:dyDescent="0.25">
      <c r="C10" s="1" t="s">
        <v>143</v>
      </c>
    </row>
    <row r="12" spans="2:8" ht="21" customHeight="1" x14ac:dyDescent="0.25">
      <c r="C12" s="128">
        <v>10</v>
      </c>
      <c r="D12" s="128">
        <v>50</v>
      </c>
      <c r="E12" s="128">
        <v>100</v>
      </c>
      <c r="F12" s="128">
        <v>200</v>
      </c>
      <c r="G12" s="128">
        <v>300</v>
      </c>
      <c r="H12" s="135" t="s">
        <v>64</v>
      </c>
    </row>
    <row r="13" spans="2:8" ht="21" customHeight="1" x14ac:dyDescent="0.25">
      <c r="B13" s="128">
        <v>0.1</v>
      </c>
      <c r="C13" s="5">
        <f t="shared" ref="C13:G18" si="0">$B$8/$B13</f>
        <v>138</v>
      </c>
      <c r="D13" s="5">
        <f t="shared" si="0"/>
        <v>138</v>
      </c>
      <c r="E13" s="5">
        <f t="shared" si="0"/>
        <v>138</v>
      </c>
      <c r="F13" s="5">
        <f t="shared" si="0"/>
        <v>138</v>
      </c>
      <c r="G13" s="5">
        <f t="shared" si="0"/>
        <v>138</v>
      </c>
    </row>
    <row r="14" spans="2:8" ht="21" customHeight="1" x14ac:dyDescent="0.25">
      <c r="B14" s="128">
        <v>1</v>
      </c>
      <c r="C14" s="5">
        <f t="shared" si="0"/>
        <v>13.8</v>
      </c>
      <c r="D14" s="5">
        <f t="shared" si="0"/>
        <v>13.8</v>
      </c>
      <c r="E14" s="5">
        <f t="shared" si="0"/>
        <v>13.8</v>
      </c>
      <c r="F14" s="5">
        <f t="shared" si="0"/>
        <v>13.8</v>
      </c>
      <c r="G14" s="5">
        <f t="shared" si="0"/>
        <v>13.8</v>
      </c>
    </row>
    <row r="15" spans="2:8" ht="21" customHeight="1" x14ac:dyDescent="0.25">
      <c r="B15" s="128">
        <v>5</v>
      </c>
      <c r="C15" s="5">
        <f t="shared" si="0"/>
        <v>2.7600000000000002</v>
      </c>
      <c r="D15" s="5">
        <f t="shared" si="0"/>
        <v>2.7600000000000002</v>
      </c>
      <c r="E15" s="5">
        <f t="shared" si="0"/>
        <v>2.7600000000000002</v>
      </c>
      <c r="F15" s="5">
        <f t="shared" si="0"/>
        <v>2.7600000000000002</v>
      </c>
      <c r="G15" s="5">
        <f t="shared" si="0"/>
        <v>2.7600000000000002</v>
      </c>
    </row>
    <row r="16" spans="2:8" ht="21" customHeight="1" x14ac:dyDescent="0.25">
      <c r="B16" s="128">
        <v>10</v>
      </c>
      <c r="C16" s="5">
        <f t="shared" si="0"/>
        <v>1.3800000000000001</v>
      </c>
      <c r="D16" s="5">
        <f t="shared" si="0"/>
        <v>1.3800000000000001</v>
      </c>
      <c r="E16" s="5">
        <f t="shared" si="0"/>
        <v>1.3800000000000001</v>
      </c>
      <c r="F16" s="5">
        <f t="shared" si="0"/>
        <v>1.3800000000000001</v>
      </c>
      <c r="G16" s="5">
        <f t="shared" si="0"/>
        <v>1.3800000000000001</v>
      </c>
    </row>
    <row r="17" spans="2:10" ht="21" customHeight="1" x14ac:dyDescent="0.25">
      <c r="B17" s="128">
        <v>15</v>
      </c>
      <c r="C17" s="5">
        <f t="shared" si="0"/>
        <v>0.92</v>
      </c>
      <c r="D17" s="5">
        <f t="shared" si="0"/>
        <v>0.92</v>
      </c>
      <c r="E17" s="5">
        <f t="shared" si="0"/>
        <v>0.92</v>
      </c>
      <c r="F17" s="5">
        <f t="shared" si="0"/>
        <v>0.92</v>
      </c>
      <c r="G17" s="5">
        <f t="shared" si="0"/>
        <v>0.92</v>
      </c>
      <c r="J17" s="1" t="s">
        <v>144</v>
      </c>
    </row>
    <row r="18" spans="2:10" ht="21" customHeight="1" x14ac:dyDescent="0.25">
      <c r="B18" s="128">
        <v>20</v>
      </c>
      <c r="C18" s="5">
        <f t="shared" si="0"/>
        <v>0.69000000000000006</v>
      </c>
      <c r="D18" s="5">
        <f t="shared" si="0"/>
        <v>0.69000000000000006</v>
      </c>
      <c r="E18" s="5">
        <f t="shared" si="0"/>
        <v>0.69000000000000006</v>
      </c>
      <c r="F18" s="5">
        <f t="shared" si="0"/>
        <v>0.69000000000000006</v>
      </c>
      <c r="G18" s="5">
        <f t="shared" si="0"/>
        <v>0.69000000000000006</v>
      </c>
      <c r="J18" s="1" t="s">
        <v>145</v>
      </c>
    </row>
    <row r="19" spans="2:10" ht="21" customHeight="1" x14ac:dyDescent="0.25">
      <c r="B19" s="135" t="s">
        <v>36</v>
      </c>
    </row>
    <row r="21" spans="2:10" ht="21" customHeight="1" x14ac:dyDescent="0.25">
      <c r="C21" s="128">
        <v>10</v>
      </c>
      <c r="D21" s="128">
        <v>50</v>
      </c>
      <c r="E21" s="128">
        <v>100</v>
      </c>
      <c r="F21" s="128">
        <v>200</v>
      </c>
      <c r="G21" s="128">
        <v>300</v>
      </c>
      <c r="H21" s="135" t="s">
        <v>64</v>
      </c>
    </row>
    <row r="22" spans="2:10" ht="21" customHeight="1" x14ac:dyDescent="0.25">
      <c r="B22" s="128">
        <v>0.1</v>
      </c>
      <c r="C22" s="5">
        <f t="shared" ref="C22:G27" si="1">$B$8*$B22</f>
        <v>1.3800000000000001</v>
      </c>
      <c r="D22" s="5">
        <f t="shared" si="1"/>
        <v>1.3800000000000001</v>
      </c>
      <c r="E22" s="5">
        <f t="shared" si="1"/>
        <v>1.3800000000000001</v>
      </c>
      <c r="F22" s="5">
        <f t="shared" si="1"/>
        <v>1.3800000000000001</v>
      </c>
      <c r="G22" s="5">
        <f t="shared" si="1"/>
        <v>1.3800000000000001</v>
      </c>
    </row>
    <row r="23" spans="2:10" ht="21" customHeight="1" x14ac:dyDescent="0.25">
      <c r="B23" s="128">
        <v>1</v>
      </c>
      <c r="C23" s="5">
        <f t="shared" si="1"/>
        <v>13.8</v>
      </c>
      <c r="D23" s="5">
        <f t="shared" si="1"/>
        <v>13.8</v>
      </c>
      <c r="E23" s="5">
        <f t="shared" si="1"/>
        <v>13.8</v>
      </c>
      <c r="F23" s="5">
        <f t="shared" si="1"/>
        <v>13.8</v>
      </c>
      <c r="G23" s="5">
        <f t="shared" si="1"/>
        <v>13.8</v>
      </c>
    </row>
    <row r="24" spans="2:10" ht="21" customHeight="1" x14ac:dyDescent="0.25">
      <c r="B24" s="128">
        <v>5</v>
      </c>
      <c r="C24" s="5">
        <f t="shared" si="1"/>
        <v>69</v>
      </c>
      <c r="D24" s="5">
        <f t="shared" si="1"/>
        <v>69</v>
      </c>
      <c r="E24" s="5">
        <f t="shared" si="1"/>
        <v>69</v>
      </c>
      <c r="F24" s="5">
        <f t="shared" si="1"/>
        <v>69</v>
      </c>
      <c r="G24" s="5">
        <f t="shared" si="1"/>
        <v>69</v>
      </c>
    </row>
    <row r="25" spans="2:10" ht="21" customHeight="1" x14ac:dyDescent="0.25">
      <c r="B25" s="128">
        <v>10</v>
      </c>
      <c r="C25" s="5">
        <f t="shared" si="1"/>
        <v>138</v>
      </c>
      <c r="D25" s="5">
        <f t="shared" si="1"/>
        <v>138</v>
      </c>
      <c r="E25" s="5">
        <f t="shared" si="1"/>
        <v>138</v>
      </c>
      <c r="F25" s="5">
        <f t="shared" si="1"/>
        <v>138</v>
      </c>
      <c r="G25" s="5">
        <f t="shared" si="1"/>
        <v>138</v>
      </c>
    </row>
    <row r="26" spans="2:10" ht="21" customHeight="1" x14ac:dyDescent="0.25">
      <c r="B26" s="128">
        <v>15</v>
      </c>
      <c r="C26" s="5">
        <f t="shared" si="1"/>
        <v>207</v>
      </c>
      <c r="D26" s="5">
        <f t="shared" si="1"/>
        <v>207</v>
      </c>
      <c r="E26" s="5">
        <f t="shared" si="1"/>
        <v>207</v>
      </c>
      <c r="F26" s="5">
        <f t="shared" si="1"/>
        <v>207</v>
      </c>
      <c r="G26" s="5">
        <f t="shared" si="1"/>
        <v>207</v>
      </c>
      <c r="J26" s="1" t="s">
        <v>146</v>
      </c>
    </row>
    <row r="27" spans="2:10" ht="21" customHeight="1" x14ac:dyDescent="0.25">
      <c r="B27" s="128">
        <v>20</v>
      </c>
      <c r="C27" s="5">
        <f t="shared" si="1"/>
        <v>276</v>
      </c>
      <c r="D27" s="5">
        <f t="shared" si="1"/>
        <v>276</v>
      </c>
      <c r="E27" s="5">
        <f t="shared" si="1"/>
        <v>276</v>
      </c>
      <c r="F27" s="5">
        <f t="shared" si="1"/>
        <v>276</v>
      </c>
      <c r="G27" s="5">
        <f t="shared" si="1"/>
        <v>276</v>
      </c>
      <c r="J27" s="1" t="s">
        <v>147</v>
      </c>
    </row>
    <row r="28" spans="2:10" ht="21" customHeight="1" x14ac:dyDescent="0.25">
      <c r="B28" s="135" t="s">
        <v>36</v>
      </c>
    </row>
    <row r="30" spans="2:10" ht="21" customHeight="1" x14ac:dyDescent="0.25">
      <c r="C30" s="128">
        <v>10</v>
      </c>
      <c r="D30" s="128">
        <v>50</v>
      </c>
      <c r="E30" s="128">
        <v>100</v>
      </c>
      <c r="F30" s="128">
        <v>200</v>
      </c>
      <c r="G30" s="128">
        <v>300</v>
      </c>
      <c r="H30" s="135" t="s">
        <v>64</v>
      </c>
    </row>
    <row r="31" spans="2:10" ht="21" customHeight="1" x14ac:dyDescent="0.25">
      <c r="B31" s="128">
        <v>0.1</v>
      </c>
      <c r="C31" s="5">
        <f t="shared" ref="C31:G36" si="2">$B$6*2*C$12</f>
        <v>5.6000000000000008E-2</v>
      </c>
      <c r="D31" s="5">
        <f t="shared" si="2"/>
        <v>0.28000000000000003</v>
      </c>
      <c r="E31" s="5">
        <f t="shared" si="2"/>
        <v>0.56000000000000005</v>
      </c>
      <c r="F31" s="5">
        <f t="shared" si="2"/>
        <v>1.1200000000000001</v>
      </c>
      <c r="G31" s="5">
        <f t="shared" si="2"/>
        <v>1.6800000000000002</v>
      </c>
    </row>
    <row r="32" spans="2:10" ht="21" customHeight="1" x14ac:dyDescent="0.25">
      <c r="B32" s="128">
        <v>1</v>
      </c>
      <c r="C32" s="5">
        <f t="shared" si="2"/>
        <v>5.6000000000000008E-2</v>
      </c>
      <c r="D32" s="5">
        <f t="shared" si="2"/>
        <v>0.28000000000000003</v>
      </c>
      <c r="E32" s="5">
        <f t="shared" si="2"/>
        <v>0.56000000000000005</v>
      </c>
      <c r="F32" s="5">
        <f t="shared" si="2"/>
        <v>1.1200000000000001</v>
      </c>
      <c r="G32" s="5">
        <f t="shared" si="2"/>
        <v>1.6800000000000002</v>
      </c>
    </row>
    <row r="33" spans="2:10" ht="21" customHeight="1" x14ac:dyDescent="0.25">
      <c r="B33" s="128">
        <v>5</v>
      </c>
      <c r="C33" s="5">
        <f t="shared" si="2"/>
        <v>5.6000000000000008E-2</v>
      </c>
      <c r="D33" s="5">
        <f t="shared" si="2"/>
        <v>0.28000000000000003</v>
      </c>
      <c r="E33" s="5">
        <f t="shared" si="2"/>
        <v>0.56000000000000005</v>
      </c>
      <c r="F33" s="5">
        <f t="shared" si="2"/>
        <v>1.1200000000000001</v>
      </c>
      <c r="G33" s="5">
        <f t="shared" si="2"/>
        <v>1.6800000000000002</v>
      </c>
    </row>
    <row r="34" spans="2:10" ht="21" customHeight="1" x14ac:dyDescent="0.25">
      <c r="B34" s="128">
        <v>10</v>
      </c>
      <c r="C34" s="5">
        <f t="shared" si="2"/>
        <v>5.6000000000000008E-2</v>
      </c>
      <c r="D34" s="5">
        <f t="shared" si="2"/>
        <v>0.28000000000000003</v>
      </c>
      <c r="E34" s="5">
        <f t="shared" si="2"/>
        <v>0.56000000000000005</v>
      </c>
      <c r="F34" s="5">
        <f t="shared" si="2"/>
        <v>1.1200000000000001</v>
      </c>
      <c r="G34" s="5">
        <f t="shared" si="2"/>
        <v>1.6800000000000002</v>
      </c>
    </row>
    <row r="35" spans="2:10" ht="21" customHeight="1" x14ac:dyDescent="0.25">
      <c r="B35" s="128">
        <v>15</v>
      </c>
      <c r="C35" s="5">
        <f t="shared" si="2"/>
        <v>5.6000000000000008E-2</v>
      </c>
      <c r="D35" s="5">
        <f t="shared" si="2"/>
        <v>0.28000000000000003</v>
      </c>
      <c r="E35" s="5">
        <f t="shared" si="2"/>
        <v>0.56000000000000005</v>
      </c>
      <c r="F35" s="5">
        <f t="shared" si="2"/>
        <v>1.1200000000000001</v>
      </c>
      <c r="G35" s="5">
        <f t="shared" si="2"/>
        <v>1.6800000000000002</v>
      </c>
      <c r="J35" s="1" t="s">
        <v>130</v>
      </c>
    </row>
    <row r="36" spans="2:10" ht="21" customHeight="1" x14ac:dyDescent="0.25">
      <c r="B36" s="128">
        <v>20</v>
      </c>
      <c r="C36" s="5">
        <f t="shared" si="2"/>
        <v>5.6000000000000008E-2</v>
      </c>
      <c r="D36" s="5">
        <f t="shared" si="2"/>
        <v>0.28000000000000003</v>
      </c>
      <c r="E36" s="5">
        <f t="shared" si="2"/>
        <v>0.56000000000000005</v>
      </c>
      <c r="F36" s="5">
        <f t="shared" si="2"/>
        <v>1.1200000000000001</v>
      </c>
      <c r="G36" s="5">
        <f t="shared" si="2"/>
        <v>1.6800000000000002</v>
      </c>
      <c r="J36" s="1" t="s">
        <v>145</v>
      </c>
    </row>
    <row r="37" spans="2:10" ht="21" customHeight="1" x14ac:dyDescent="0.25">
      <c r="B37" s="135" t="s">
        <v>36</v>
      </c>
    </row>
    <row r="39" spans="2:10" ht="21" customHeight="1" x14ac:dyDescent="0.25">
      <c r="C39" s="128">
        <v>10</v>
      </c>
      <c r="D39" s="128">
        <v>50</v>
      </c>
      <c r="E39" s="128">
        <v>100</v>
      </c>
      <c r="F39" s="128">
        <v>200</v>
      </c>
      <c r="G39" s="128">
        <v>300</v>
      </c>
      <c r="H39" s="135" t="s">
        <v>64</v>
      </c>
    </row>
    <row r="40" spans="2:10" ht="21" customHeight="1" x14ac:dyDescent="0.25">
      <c r="B40" s="128">
        <v>0.1</v>
      </c>
      <c r="C40" s="5">
        <f t="shared" ref="C40:G45" si="3">C13+C31</f>
        <v>138.05600000000001</v>
      </c>
      <c r="D40" s="5">
        <f t="shared" si="3"/>
        <v>138.28</v>
      </c>
      <c r="E40" s="5">
        <f t="shared" si="3"/>
        <v>138.56</v>
      </c>
      <c r="F40" s="5">
        <f t="shared" si="3"/>
        <v>139.12</v>
      </c>
      <c r="G40" s="5">
        <f t="shared" si="3"/>
        <v>139.68</v>
      </c>
    </row>
    <row r="41" spans="2:10" ht="21" customHeight="1" x14ac:dyDescent="0.25">
      <c r="B41" s="128">
        <v>1</v>
      </c>
      <c r="C41" s="5">
        <f t="shared" si="3"/>
        <v>13.856</v>
      </c>
      <c r="D41" s="5">
        <f t="shared" si="3"/>
        <v>14.08</v>
      </c>
      <c r="E41" s="5">
        <f t="shared" si="3"/>
        <v>14.360000000000001</v>
      </c>
      <c r="F41" s="5">
        <f t="shared" si="3"/>
        <v>14.920000000000002</v>
      </c>
      <c r="G41" s="5">
        <f t="shared" si="3"/>
        <v>15.48</v>
      </c>
    </row>
    <row r="42" spans="2:10" ht="21" customHeight="1" x14ac:dyDescent="0.25">
      <c r="B42" s="128">
        <v>5</v>
      </c>
      <c r="C42" s="5">
        <f t="shared" si="3"/>
        <v>2.8160000000000003</v>
      </c>
      <c r="D42" s="5">
        <f t="shared" si="3"/>
        <v>3.04</v>
      </c>
      <c r="E42" s="5">
        <f t="shared" si="3"/>
        <v>3.3200000000000003</v>
      </c>
      <c r="F42" s="5">
        <f t="shared" si="3"/>
        <v>3.8800000000000003</v>
      </c>
      <c r="G42" s="5">
        <f t="shared" si="3"/>
        <v>4.4400000000000004</v>
      </c>
    </row>
    <row r="43" spans="2:10" ht="21" customHeight="1" x14ac:dyDescent="0.25">
      <c r="B43" s="128">
        <v>10</v>
      </c>
      <c r="C43" s="5">
        <f t="shared" si="3"/>
        <v>1.4360000000000002</v>
      </c>
      <c r="D43" s="5">
        <f t="shared" si="3"/>
        <v>1.6600000000000001</v>
      </c>
      <c r="E43" s="5">
        <f t="shared" si="3"/>
        <v>1.9400000000000002</v>
      </c>
      <c r="F43" s="5">
        <f t="shared" si="3"/>
        <v>2.5</v>
      </c>
      <c r="G43" s="5">
        <f t="shared" si="3"/>
        <v>3.0600000000000005</v>
      </c>
    </row>
    <row r="44" spans="2:10" ht="21" customHeight="1" x14ac:dyDescent="0.25">
      <c r="B44" s="128">
        <v>15</v>
      </c>
      <c r="C44" s="5">
        <f t="shared" si="3"/>
        <v>0.97600000000000009</v>
      </c>
      <c r="D44" s="5">
        <f t="shared" si="3"/>
        <v>1.2000000000000002</v>
      </c>
      <c r="E44" s="5">
        <f t="shared" si="3"/>
        <v>1.48</v>
      </c>
      <c r="F44" s="5">
        <f t="shared" si="3"/>
        <v>2.04</v>
      </c>
      <c r="G44" s="5">
        <f t="shared" si="3"/>
        <v>2.6</v>
      </c>
      <c r="J44" s="1" t="s">
        <v>138</v>
      </c>
    </row>
    <row r="45" spans="2:10" ht="21" customHeight="1" x14ac:dyDescent="0.25">
      <c r="B45" s="128">
        <v>20</v>
      </c>
      <c r="C45" s="5">
        <f t="shared" si="3"/>
        <v>0.74600000000000011</v>
      </c>
      <c r="D45" s="5">
        <f t="shared" si="3"/>
        <v>0.97000000000000008</v>
      </c>
      <c r="E45" s="5">
        <f t="shared" si="3"/>
        <v>1.25</v>
      </c>
      <c r="F45" s="5">
        <f t="shared" si="3"/>
        <v>1.81</v>
      </c>
      <c r="G45" s="5">
        <f t="shared" si="3"/>
        <v>2.37</v>
      </c>
      <c r="J45" s="1" t="s">
        <v>145</v>
      </c>
    </row>
    <row r="46" spans="2:10" ht="21" customHeight="1" x14ac:dyDescent="0.25">
      <c r="B46" s="135" t="s">
        <v>36</v>
      </c>
    </row>
    <row r="48" spans="2:10" ht="21" customHeight="1" x14ac:dyDescent="0.25">
      <c r="C48" s="128">
        <v>10</v>
      </c>
      <c r="D48" s="128">
        <v>50</v>
      </c>
      <c r="E48" s="128">
        <v>100</v>
      </c>
      <c r="F48" s="128">
        <v>200</v>
      </c>
      <c r="G48" s="128">
        <v>300</v>
      </c>
      <c r="H48" s="135" t="s">
        <v>64</v>
      </c>
    </row>
    <row r="49" spans="2:10" ht="21" customHeight="1" x14ac:dyDescent="0.25">
      <c r="B49" s="128">
        <v>0.1</v>
      </c>
      <c r="C49" s="5">
        <f t="shared" ref="C49:G54" si="4">$B$8/C40</f>
        <v>9.995943675030422E-2</v>
      </c>
      <c r="D49" s="5">
        <f t="shared" si="4"/>
        <v>9.979751229389644E-2</v>
      </c>
      <c r="E49" s="5">
        <f t="shared" si="4"/>
        <v>9.959584295612009E-2</v>
      </c>
      <c r="F49" s="5">
        <f t="shared" si="4"/>
        <v>9.9194939620471531E-2</v>
      </c>
      <c r="G49" s="5">
        <f t="shared" si="4"/>
        <v>9.8797250859106525E-2</v>
      </c>
    </row>
    <row r="50" spans="2:10" ht="21" customHeight="1" x14ac:dyDescent="0.25">
      <c r="B50" s="128">
        <v>1</v>
      </c>
      <c r="C50" s="5">
        <f t="shared" si="4"/>
        <v>0.99595842956120095</v>
      </c>
      <c r="D50" s="5">
        <f t="shared" si="4"/>
        <v>0.98011363636363646</v>
      </c>
      <c r="E50" s="5">
        <f t="shared" si="4"/>
        <v>0.96100278551532026</v>
      </c>
      <c r="F50" s="5">
        <f t="shared" si="4"/>
        <v>0.92493297587131362</v>
      </c>
      <c r="G50" s="5">
        <f t="shared" si="4"/>
        <v>0.89147286821705429</v>
      </c>
    </row>
    <row r="51" spans="2:10" ht="21" customHeight="1" x14ac:dyDescent="0.25">
      <c r="B51" s="128">
        <v>5</v>
      </c>
      <c r="C51" s="5">
        <f t="shared" si="4"/>
        <v>4.9005681818181817</v>
      </c>
      <c r="D51" s="5">
        <f t="shared" si="4"/>
        <v>4.5394736842105265</v>
      </c>
      <c r="E51" s="5">
        <f t="shared" si="4"/>
        <v>4.1566265060240966</v>
      </c>
      <c r="F51" s="5">
        <f t="shared" si="4"/>
        <v>3.5567010309278349</v>
      </c>
      <c r="G51" s="5">
        <f t="shared" si="4"/>
        <v>3.1081081081081079</v>
      </c>
    </row>
    <row r="52" spans="2:10" ht="21" customHeight="1" x14ac:dyDescent="0.25">
      <c r="B52" s="128">
        <v>10</v>
      </c>
      <c r="C52" s="5">
        <f t="shared" si="4"/>
        <v>9.6100278551532021</v>
      </c>
      <c r="D52" s="5">
        <f t="shared" si="4"/>
        <v>8.3132530120481931</v>
      </c>
      <c r="E52" s="5">
        <f t="shared" si="4"/>
        <v>7.1134020618556697</v>
      </c>
      <c r="F52" s="5">
        <f t="shared" si="4"/>
        <v>5.5200000000000005</v>
      </c>
      <c r="G52" s="5">
        <f t="shared" si="4"/>
        <v>4.5098039215686265</v>
      </c>
    </row>
    <row r="53" spans="2:10" ht="21" customHeight="1" x14ac:dyDescent="0.25">
      <c r="B53" s="128">
        <v>15</v>
      </c>
      <c r="C53" s="5">
        <f t="shared" si="4"/>
        <v>14.139344262295081</v>
      </c>
      <c r="D53" s="5">
        <f t="shared" si="4"/>
        <v>11.499999999999998</v>
      </c>
      <c r="E53" s="5">
        <f t="shared" si="4"/>
        <v>9.3243243243243246</v>
      </c>
      <c r="F53" s="5">
        <f t="shared" si="4"/>
        <v>6.7647058823529411</v>
      </c>
      <c r="G53" s="5">
        <f t="shared" si="4"/>
        <v>5.3076923076923075</v>
      </c>
      <c r="J53" s="1" t="s">
        <v>148</v>
      </c>
    </row>
    <row r="54" spans="2:10" ht="21" customHeight="1" x14ac:dyDescent="0.25">
      <c r="B54" s="128">
        <v>20</v>
      </c>
      <c r="C54" s="5">
        <f t="shared" si="4"/>
        <v>18.498659517426272</v>
      </c>
      <c r="D54" s="5">
        <f t="shared" si="4"/>
        <v>14.226804123711339</v>
      </c>
      <c r="E54" s="5">
        <f t="shared" si="4"/>
        <v>11.040000000000001</v>
      </c>
      <c r="F54" s="5">
        <f t="shared" si="4"/>
        <v>7.6243093922651939</v>
      </c>
      <c r="G54" s="5">
        <f t="shared" si="4"/>
        <v>5.8227848101265822</v>
      </c>
      <c r="J54" s="1" t="s">
        <v>149</v>
      </c>
    </row>
    <row r="55" spans="2:10" ht="21" customHeight="1" x14ac:dyDescent="0.25">
      <c r="B55" s="135" t="s">
        <v>36</v>
      </c>
    </row>
    <row r="57" spans="2:10" ht="21" customHeight="1" x14ac:dyDescent="0.25">
      <c r="C57" s="128">
        <v>10</v>
      </c>
      <c r="D57" s="128">
        <v>50</v>
      </c>
      <c r="E57" s="128">
        <v>100</v>
      </c>
      <c r="F57" s="128">
        <v>200</v>
      </c>
      <c r="G57" s="128">
        <v>300</v>
      </c>
      <c r="H57" s="135" t="s">
        <v>64</v>
      </c>
    </row>
    <row r="58" spans="2:10" ht="21" customHeight="1" x14ac:dyDescent="0.25">
      <c r="B58" s="128">
        <v>0.1</v>
      </c>
      <c r="C58" s="5">
        <f t="shared" ref="C58:G63" si="5">C49*C49*C13</f>
        <v>1.3788806813704535</v>
      </c>
      <c r="D58" s="5">
        <f t="shared" si="5"/>
        <v>1.3744169974869567</v>
      </c>
      <c r="E58" s="5">
        <f t="shared" si="5"/>
        <v>1.3688678069113387</v>
      </c>
      <c r="F58" s="5">
        <f t="shared" si="5"/>
        <v>1.3578697743906409</v>
      </c>
      <c r="G58" s="5">
        <f t="shared" si="5"/>
        <v>1.3470037552697769</v>
      </c>
    </row>
    <row r="59" spans="2:10" ht="21" customHeight="1" x14ac:dyDescent="0.25">
      <c r="B59" s="128">
        <v>1</v>
      </c>
      <c r="C59" s="5">
        <f t="shared" si="5"/>
        <v>13.688678069113388</v>
      </c>
      <c r="D59" s="5">
        <f t="shared" si="5"/>
        <v>13.25659381456612</v>
      </c>
      <c r="E59" s="5">
        <f t="shared" si="5"/>
        <v>12.744663682001224</v>
      </c>
      <c r="F59" s="5">
        <f t="shared" si="5"/>
        <v>11.805913935987464</v>
      </c>
      <c r="G59" s="5">
        <f t="shared" si="5"/>
        <v>10.967189471786552</v>
      </c>
    </row>
    <row r="60" spans="2:10" ht="21" customHeight="1" x14ac:dyDescent="0.25">
      <c r="B60" s="128">
        <v>5</v>
      </c>
      <c r="C60" s="5">
        <f t="shared" si="5"/>
        <v>66.282969072830582</v>
      </c>
      <c r="D60" s="5">
        <f t="shared" si="5"/>
        <v>56.874826869806107</v>
      </c>
      <c r="E60" s="5">
        <f t="shared" si="5"/>
        <v>47.686021193206571</v>
      </c>
      <c r="F60" s="5">
        <f t="shared" si="5"/>
        <v>34.914337336592624</v>
      </c>
      <c r="G60" s="5">
        <f t="shared" si="5"/>
        <v>26.662527392257118</v>
      </c>
    </row>
    <row r="61" spans="2:10" ht="21" customHeight="1" x14ac:dyDescent="0.25">
      <c r="B61" s="128">
        <v>10</v>
      </c>
      <c r="C61" s="5">
        <f t="shared" si="5"/>
        <v>127.44663682001224</v>
      </c>
      <c r="D61" s="5">
        <f t="shared" si="5"/>
        <v>95.372042386413142</v>
      </c>
      <c r="E61" s="5">
        <f t="shared" si="5"/>
        <v>69.828674673185247</v>
      </c>
      <c r="F61" s="5">
        <f t="shared" si="5"/>
        <v>42.049152000000014</v>
      </c>
      <c r="G61" s="5">
        <f t="shared" si="5"/>
        <v>28.066897347174155</v>
      </c>
    </row>
    <row r="62" spans="2:10" ht="21" customHeight="1" x14ac:dyDescent="0.25">
      <c r="B62" s="128">
        <v>15</v>
      </c>
      <c r="C62" s="5">
        <f t="shared" si="5"/>
        <v>183.92737167428109</v>
      </c>
      <c r="D62" s="5">
        <f t="shared" si="5"/>
        <v>121.66999999999997</v>
      </c>
      <c r="E62" s="5">
        <f t="shared" si="5"/>
        <v>79.987582176771369</v>
      </c>
      <c r="F62" s="5">
        <f t="shared" si="5"/>
        <v>42.100346020761251</v>
      </c>
      <c r="G62" s="5">
        <f t="shared" si="5"/>
        <v>25.917869822485205</v>
      </c>
      <c r="J62" s="1" t="s">
        <v>150</v>
      </c>
    </row>
    <row r="63" spans="2:10" ht="21" customHeight="1" x14ac:dyDescent="0.25">
      <c r="B63" s="128">
        <v>20</v>
      </c>
      <c r="C63" s="5">
        <f t="shared" si="5"/>
        <v>236.1182787197493</v>
      </c>
      <c r="D63" s="5">
        <f t="shared" si="5"/>
        <v>139.65734934637049</v>
      </c>
      <c r="E63" s="5">
        <f t="shared" si="5"/>
        <v>84.098304000000027</v>
      </c>
      <c r="F63" s="5">
        <f t="shared" si="5"/>
        <v>40.109764659198447</v>
      </c>
      <c r="G63" s="5">
        <f t="shared" si="5"/>
        <v>23.394327832078194</v>
      </c>
      <c r="J63" s="1" t="s">
        <v>147</v>
      </c>
    </row>
    <row r="64" spans="2:10" ht="21" customHeight="1" x14ac:dyDescent="0.25">
      <c r="B64" s="135" t="s">
        <v>36</v>
      </c>
    </row>
    <row r="66" spans="2:10" ht="21" customHeight="1" x14ac:dyDescent="0.25">
      <c r="C66" s="128">
        <v>10</v>
      </c>
      <c r="D66" s="128">
        <v>50</v>
      </c>
      <c r="E66" s="128">
        <v>100</v>
      </c>
      <c r="F66" s="128">
        <v>200</v>
      </c>
      <c r="G66" s="128">
        <v>300</v>
      </c>
      <c r="H66" s="135" t="s">
        <v>64</v>
      </c>
    </row>
    <row r="67" spans="2:10" ht="21" customHeight="1" x14ac:dyDescent="0.25">
      <c r="B67" s="128">
        <v>0.1</v>
      </c>
      <c r="C67" s="5">
        <f t="shared" ref="C67:G72" si="6">C49*C49*C31</f>
        <v>5.59545783744532E-4</v>
      </c>
      <c r="D67" s="5">
        <f t="shared" si="6"/>
        <v>2.7886721688141153E-3</v>
      </c>
      <c r="E67" s="5">
        <f t="shared" si="6"/>
        <v>5.5548258831184761E-3</v>
      </c>
      <c r="F67" s="5">
        <f t="shared" si="6"/>
        <v>1.1020392371866071E-2</v>
      </c>
      <c r="G67" s="5">
        <f t="shared" si="6"/>
        <v>1.639830658589294E-2</v>
      </c>
    </row>
    <row r="68" spans="2:10" ht="21" customHeight="1" x14ac:dyDescent="0.25">
      <c r="B68" s="128">
        <v>1</v>
      </c>
      <c r="C68" s="5">
        <f t="shared" si="6"/>
        <v>5.554825883118477E-2</v>
      </c>
      <c r="D68" s="5">
        <f t="shared" si="6"/>
        <v>0.26897436725206619</v>
      </c>
      <c r="E68" s="5">
        <f t="shared" si="6"/>
        <v>0.51717475811019464</v>
      </c>
      <c r="F68" s="5">
        <f t="shared" si="6"/>
        <v>0.95816113103666378</v>
      </c>
      <c r="G68" s="5">
        <f t="shared" si="6"/>
        <v>1.3351361096087977</v>
      </c>
    </row>
    <row r="69" spans="2:10" ht="21" customHeight="1" x14ac:dyDescent="0.25">
      <c r="B69" s="128">
        <v>5</v>
      </c>
      <c r="C69" s="5">
        <f t="shared" si="6"/>
        <v>1.3448718362603307</v>
      </c>
      <c r="D69" s="5">
        <f t="shared" si="6"/>
        <v>5.7699099722991702</v>
      </c>
      <c r="E69" s="5">
        <f t="shared" si="6"/>
        <v>9.6754245899259708</v>
      </c>
      <c r="F69" s="5">
        <f t="shared" si="6"/>
        <v>14.1681368902115</v>
      </c>
      <c r="G69" s="5">
        <f t="shared" si="6"/>
        <v>16.229364499634769</v>
      </c>
    </row>
    <row r="70" spans="2:10" ht="21" customHeight="1" x14ac:dyDescent="0.25">
      <c r="B70" s="128">
        <v>10</v>
      </c>
      <c r="C70" s="5">
        <f t="shared" si="6"/>
        <v>5.171747581101946</v>
      </c>
      <c r="D70" s="5">
        <f t="shared" si="6"/>
        <v>19.350849179851942</v>
      </c>
      <c r="E70" s="5">
        <f t="shared" si="6"/>
        <v>28.336273780422999</v>
      </c>
      <c r="F70" s="5">
        <f t="shared" si="6"/>
        <v>34.12684800000001</v>
      </c>
      <c r="G70" s="5">
        <f t="shared" si="6"/>
        <v>34.168396770472889</v>
      </c>
    </row>
    <row r="71" spans="2:10" ht="21" customHeight="1" x14ac:dyDescent="0.25">
      <c r="B71" s="128">
        <v>15</v>
      </c>
      <c r="C71" s="5">
        <f t="shared" si="6"/>
        <v>11.195579145391024</v>
      </c>
      <c r="D71" s="5">
        <f t="shared" si="6"/>
        <v>37.029999999999994</v>
      </c>
      <c r="E71" s="5">
        <f t="shared" si="6"/>
        <v>48.688093498904315</v>
      </c>
      <c r="F71" s="5">
        <f t="shared" si="6"/>
        <v>51.252595155709351</v>
      </c>
      <c r="G71" s="5">
        <f t="shared" si="6"/>
        <v>47.328284023668637</v>
      </c>
      <c r="J71" s="1" t="s">
        <v>151</v>
      </c>
    </row>
    <row r="72" spans="2:10" ht="21" customHeight="1" x14ac:dyDescent="0.25">
      <c r="B72" s="128">
        <v>20</v>
      </c>
      <c r="C72" s="5">
        <f t="shared" si="6"/>
        <v>19.163222620733279</v>
      </c>
      <c r="D72" s="5">
        <f t="shared" si="6"/>
        <v>56.672547560845999</v>
      </c>
      <c r="E72" s="5">
        <f t="shared" si="6"/>
        <v>68.253696000000019</v>
      </c>
      <c r="F72" s="5">
        <f t="shared" si="6"/>
        <v>65.105704954061252</v>
      </c>
      <c r="G72" s="5">
        <f t="shared" si="6"/>
        <v>56.96010254766864</v>
      </c>
      <c r="J72" s="1" t="s">
        <v>147</v>
      </c>
    </row>
    <row r="73" spans="2:10" ht="21" customHeight="1" x14ac:dyDescent="0.25">
      <c r="B73" s="135" t="s">
        <v>36</v>
      </c>
    </row>
    <row r="75" spans="2:10" ht="21" customHeight="1" x14ac:dyDescent="0.25">
      <c r="C75" s="128">
        <v>10</v>
      </c>
      <c r="D75" s="128">
        <v>50</v>
      </c>
      <c r="E75" s="128">
        <v>100</v>
      </c>
      <c r="F75" s="128">
        <v>200</v>
      </c>
      <c r="G75" s="128">
        <v>300</v>
      </c>
      <c r="H75" s="135" t="s">
        <v>64</v>
      </c>
    </row>
    <row r="76" spans="2:10" ht="21" customHeight="1" x14ac:dyDescent="0.25">
      <c r="B76" s="128">
        <v>0.1</v>
      </c>
      <c r="C76" s="311">
        <f t="shared" ref="C76:G81" si="7">C58/(C58+C67)*100</f>
        <v>99.959436750304221</v>
      </c>
      <c r="D76" s="311">
        <f t="shared" si="7"/>
        <v>99.797512293896446</v>
      </c>
      <c r="E76" s="311">
        <f t="shared" si="7"/>
        <v>99.595842956120094</v>
      </c>
      <c r="F76" s="311">
        <f t="shared" si="7"/>
        <v>99.19493962047153</v>
      </c>
      <c r="G76" s="311">
        <f t="shared" si="7"/>
        <v>98.797250859106526</v>
      </c>
    </row>
    <row r="77" spans="2:10" ht="21" customHeight="1" x14ac:dyDescent="0.25">
      <c r="B77" s="128">
        <v>1</v>
      </c>
      <c r="C77" s="311">
        <f t="shared" si="7"/>
        <v>99.595842956120094</v>
      </c>
      <c r="D77" s="311">
        <f t="shared" si="7"/>
        <v>98.01136363636364</v>
      </c>
      <c r="E77" s="311">
        <f t="shared" si="7"/>
        <v>96.100278551532043</v>
      </c>
      <c r="F77" s="311">
        <f t="shared" si="7"/>
        <v>92.49329758713138</v>
      </c>
      <c r="G77" s="311">
        <f t="shared" si="7"/>
        <v>89.147286821705436</v>
      </c>
    </row>
    <row r="78" spans="2:10" ht="21" customHeight="1" x14ac:dyDescent="0.25">
      <c r="B78" s="128">
        <v>5</v>
      </c>
      <c r="C78" s="311">
        <f t="shared" si="7"/>
        <v>98.01136363636364</v>
      </c>
      <c r="D78" s="311">
        <f t="shared" si="7"/>
        <v>90.789473684210535</v>
      </c>
      <c r="E78" s="311">
        <f t="shared" si="7"/>
        <v>83.132530120481931</v>
      </c>
      <c r="F78" s="312">
        <f t="shared" si="7"/>
        <v>71.134020618556704</v>
      </c>
      <c r="G78" s="312">
        <f t="shared" si="7"/>
        <v>62.162162162162161</v>
      </c>
    </row>
    <row r="79" spans="2:10" ht="21" customHeight="1" x14ac:dyDescent="0.25">
      <c r="B79" s="128">
        <v>10</v>
      </c>
      <c r="C79" s="311">
        <f t="shared" si="7"/>
        <v>96.100278551532043</v>
      </c>
      <c r="D79" s="311">
        <f t="shared" si="7"/>
        <v>83.132530120481931</v>
      </c>
      <c r="E79" s="312">
        <f t="shared" si="7"/>
        <v>71.134020618556704</v>
      </c>
      <c r="F79" s="312">
        <f t="shared" si="7"/>
        <v>55.2</v>
      </c>
      <c r="G79" s="313">
        <f t="shared" si="7"/>
        <v>45.098039215686271</v>
      </c>
    </row>
    <row r="80" spans="2:10" ht="21" customHeight="1" x14ac:dyDescent="0.25">
      <c r="B80" s="128">
        <v>15</v>
      </c>
      <c r="C80" s="311">
        <f t="shared" si="7"/>
        <v>94.26229508196721</v>
      </c>
      <c r="D80" s="311">
        <f t="shared" si="7"/>
        <v>76.666666666666671</v>
      </c>
      <c r="E80" s="312">
        <f t="shared" si="7"/>
        <v>62.162162162162161</v>
      </c>
      <c r="F80" s="313">
        <f t="shared" si="7"/>
        <v>45.098039215686271</v>
      </c>
      <c r="G80" s="313">
        <f t="shared" si="7"/>
        <v>35.38461538461538</v>
      </c>
      <c r="J80" s="1" t="s">
        <v>152</v>
      </c>
    </row>
    <row r="81" spans="2:10" ht="21" customHeight="1" x14ac:dyDescent="0.25">
      <c r="B81" s="128">
        <v>20</v>
      </c>
      <c r="C81" s="311">
        <f t="shared" si="7"/>
        <v>92.493297587131366</v>
      </c>
      <c r="D81" s="312">
        <f t="shared" si="7"/>
        <v>71.134020618556704</v>
      </c>
      <c r="E81" s="312">
        <f t="shared" si="7"/>
        <v>55.2</v>
      </c>
      <c r="F81" s="313">
        <f t="shared" si="7"/>
        <v>38.121546961325961</v>
      </c>
      <c r="G81" s="313">
        <f t="shared" si="7"/>
        <v>29.113924050632917</v>
      </c>
      <c r="J81" s="1" t="s">
        <v>153</v>
      </c>
    </row>
    <row r="82" spans="2:10" ht="21" customHeight="1" x14ac:dyDescent="0.25">
      <c r="B82" s="135" t="s">
        <v>36</v>
      </c>
    </row>
    <row r="84" spans="2:10" ht="21" customHeight="1" x14ac:dyDescent="0.25">
      <c r="C84" s="128">
        <v>10</v>
      </c>
      <c r="D84" s="128">
        <v>50</v>
      </c>
      <c r="E84" s="128">
        <v>100</v>
      </c>
      <c r="F84" s="128">
        <v>200</v>
      </c>
      <c r="G84" s="128">
        <v>300</v>
      </c>
      <c r="H84" s="135" t="s">
        <v>64</v>
      </c>
    </row>
    <row r="85" spans="2:10" ht="21" customHeight="1" x14ac:dyDescent="0.25">
      <c r="B85" s="128">
        <v>0.1</v>
      </c>
      <c r="C85" s="311">
        <f t="shared" ref="C85:G90" si="8">C58/C22*100</f>
        <v>99.918889954380688</v>
      </c>
      <c r="D85" s="311">
        <f t="shared" si="8"/>
        <v>99.595434600504092</v>
      </c>
      <c r="E85" s="311">
        <f t="shared" si="8"/>
        <v>99.193319341401349</v>
      </c>
      <c r="F85" s="311">
        <f t="shared" si="8"/>
        <v>98.39636046308992</v>
      </c>
      <c r="G85" s="311">
        <f t="shared" si="8"/>
        <v>97.608967773172225</v>
      </c>
    </row>
    <row r="86" spans="2:10" ht="21" customHeight="1" x14ac:dyDescent="0.25">
      <c r="B86" s="128">
        <v>1</v>
      </c>
      <c r="C86" s="311">
        <f t="shared" si="8"/>
        <v>99.193319341401349</v>
      </c>
      <c r="D86" s="311">
        <f t="shared" si="8"/>
        <v>96.062274018595062</v>
      </c>
      <c r="E86" s="311">
        <f t="shared" si="8"/>
        <v>92.352635376820459</v>
      </c>
      <c r="F86" s="311">
        <f t="shared" si="8"/>
        <v>85.550100985416407</v>
      </c>
      <c r="G86" s="311">
        <f t="shared" si="8"/>
        <v>79.472387476714147</v>
      </c>
    </row>
    <row r="87" spans="2:10" ht="21" customHeight="1" x14ac:dyDescent="0.25">
      <c r="B87" s="128">
        <v>5</v>
      </c>
      <c r="C87" s="311">
        <f t="shared" si="8"/>
        <v>96.062274018595048</v>
      </c>
      <c r="D87" s="311">
        <f t="shared" si="8"/>
        <v>82.427285318559569</v>
      </c>
      <c r="E87" s="312">
        <f t="shared" si="8"/>
        <v>69.110175642328358</v>
      </c>
      <c r="F87" s="312">
        <f t="shared" si="8"/>
        <v>50.600488893612493</v>
      </c>
      <c r="G87" s="313">
        <f t="shared" si="8"/>
        <v>38.641344046749445</v>
      </c>
    </row>
    <row r="88" spans="2:10" ht="21" customHeight="1" x14ac:dyDescent="0.25">
      <c r="B88" s="128">
        <v>10</v>
      </c>
      <c r="C88" s="311">
        <f t="shared" si="8"/>
        <v>92.352635376820473</v>
      </c>
      <c r="D88" s="312">
        <f t="shared" si="8"/>
        <v>69.110175642328358</v>
      </c>
      <c r="E88" s="312">
        <f t="shared" si="8"/>
        <v>50.600488893612493</v>
      </c>
      <c r="F88" s="313">
        <f t="shared" si="8"/>
        <v>30.470400000000009</v>
      </c>
      <c r="G88" s="313">
        <f t="shared" si="8"/>
        <v>20.338331410995764</v>
      </c>
    </row>
    <row r="89" spans="2:10" ht="21" customHeight="1" x14ac:dyDescent="0.25">
      <c r="B89" s="128">
        <v>15</v>
      </c>
      <c r="C89" s="311">
        <f t="shared" si="8"/>
        <v>88.853802741198592</v>
      </c>
      <c r="D89" s="312">
        <f t="shared" si="8"/>
        <v>58.777777777777764</v>
      </c>
      <c r="E89" s="313">
        <f t="shared" si="8"/>
        <v>38.641344046749452</v>
      </c>
      <c r="F89" s="313">
        <f t="shared" si="8"/>
        <v>20.338331410995771</v>
      </c>
      <c r="G89" s="313">
        <f t="shared" si="8"/>
        <v>12.520710059171597</v>
      </c>
      <c r="J89" s="1" t="s">
        <v>154</v>
      </c>
    </row>
    <row r="90" spans="2:10" ht="21" customHeight="1" x14ac:dyDescent="0.25">
      <c r="B90" s="128">
        <v>20</v>
      </c>
      <c r="C90" s="311">
        <f t="shared" si="8"/>
        <v>85.550100985416407</v>
      </c>
      <c r="D90" s="312">
        <f t="shared" si="8"/>
        <v>50.600488893612493</v>
      </c>
      <c r="E90" s="313">
        <f t="shared" si="8"/>
        <v>30.470400000000009</v>
      </c>
      <c r="F90" s="313">
        <f t="shared" si="8"/>
        <v>14.532523427245813</v>
      </c>
      <c r="G90" s="313">
        <f t="shared" si="8"/>
        <v>8.4762057362602139</v>
      </c>
      <c r="J90" s="1" t="s">
        <v>153</v>
      </c>
    </row>
    <row r="91" spans="2:10" ht="21" customHeight="1" x14ac:dyDescent="0.25">
      <c r="B91" s="13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7575-5B21-9548-AFC3-1355AF3FF9DD}">
  <dimension ref="A1:I72"/>
  <sheetViews>
    <sheetView workbookViewId="0">
      <selection activeCell="F4" sqref="F4"/>
    </sheetView>
  </sheetViews>
  <sheetFormatPr baseColWidth="10" defaultRowHeight="16" x14ac:dyDescent="0.2"/>
  <cols>
    <col min="1" max="1" width="3.83203125" customWidth="1"/>
    <col min="2" max="2" width="39" customWidth="1"/>
    <col min="3" max="9" width="20.5" customWidth="1"/>
  </cols>
  <sheetData>
    <row r="1" spans="1:9" ht="21" x14ac:dyDescent="0.25">
      <c r="A1" s="1"/>
      <c r="B1" s="1"/>
      <c r="C1" s="1"/>
      <c r="D1" s="1"/>
      <c r="E1" s="1"/>
      <c r="F1" s="1"/>
      <c r="G1" s="1"/>
      <c r="H1" s="1"/>
      <c r="I1" s="1"/>
    </row>
    <row r="2" spans="1:9" ht="21" x14ac:dyDescent="0.25">
      <c r="A2" s="1"/>
      <c r="B2" s="227" t="s">
        <v>417</v>
      </c>
      <c r="C2" s="227"/>
      <c r="D2" s="1"/>
      <c r="E2" s="25" t="s">
        <v>425</v>
      </c>
      <c r="F2" s="661">
        <v>10</v>
      </c>
      <c r="G2" s="1" t="s">
        <v>423</v>
      </c>
      <c r="H2" s="1"/>
      <c r="I2" s="1"/>
    </row>
    <row r="3" spans="1:9" ht="22" thickBot="1" x14ac:dyDescent="0.3">
      <c r="A3" s="1"/>
      <c r="B3" s="1"/>
      <c r="C3" s="1"/>
      <c r="D3" s="1"/>
      <c r="E3" s="25" t="s">
        <v>426</v>
      </c>
      <c r="F3" s="665">
        <v>0.98</v>
      </c>
      <c r="G3" s="1" t="s">
        <v>424</v>
      </c>
      <c r="H3" s="1"/>
      <c r="I3" s="1"/>
    </row>
    <row r="4" spans="1:9" ht="22" thickBot="1" x14ac:dyDescent="0.3">
      <c r="A4" s="1"/>
      <c r="B4" s="25" t="s">
        <v>419</v>
      </c>
      <c r="C4" s="136">
        <v>12</v>
      </c>
      <c r="D4" s="1"/>
      <c r="E4" s="1"/>
      <c r="F4" s="1"/>
      <c r="G4" s="1"/>
      <c r="H4" s="1"/>
      <c r="I4" s="1"/>
    </row>
    <row r="5" spans="1:9" ht="22" thickBot="1" x14ac:dyDescent="0.3">
      <c r="A5" s="1"/>
      <c r="B5" s="25" t="s">
        <v>418</v>
      </c>
      <c r="C5" s="136">
        <v>13.8</v>
      </c>
      <c r="D5" s="7" t="s">
        <v>405</v>
      </c>
      <c r="E5" s="646" t="s">
        <v>406</v>
      </c>
      <c r="F5" s="7" t="s">
        <v>407</v>
      </c>
      <c r="G5" s="51" t="s">
        <v>412</v>
      </c>
      <c r="H5" s="7" t="s">
        <v>410</v>
      </c>
      <c r="I5" s="645" t="s">
        <v>408</v>
      </c>
    </row>
    <row r="6" spans="1:9" ht="22" thickBot="1" x14ac:dyDescent="0.3">
      <c r="A6" s="1"/>
      <c r="B6" s="25" t="s">
        <v>416</v>
      </c>
      <c r="C6" s="1"/>
      <c r="D6" s="7">
        <f t="shared" ref="D6:I6" si="0">IF(D5="","",VLOOKUP(D5,twinlead_table,2,FALSE))</f>
        <v>3.9500000000000001E-4</v>
      </c>
      <c r="E6" s="646">
        <f t="shared" si="0"/>
        <v>4.9799999999999996E-4</v>
      </c>
      <c r="F6" s="7">
        <f t="shared" si="0"/>
        <v>1.047E-3</v>
      </c>
      <c r="G6" s="51">
        <f t="shared" si="0"/>
        <v>1.719E-3</v>
      </c>
      <c r="H6" s="7">
        <f t="shared" si="0"/>
        <v>2.0820000000000001E-3</v>
      </c>
      <c r="I6" s="645">
        <f t="shared" si="0"/>
        <v>2.702E-3</v>
      </c>
    </row>
    <row r="7" spans="1:9" ht="22" thickBot="1" x14ac:dyDescent="0.3">
      <c r="A7" s="1"/>
      <c r="B7" s="25" t="s">
        <v>427</v>
      </c>
      <c r="C7" s="644">
        <v>20</v>
      </c>
      <c r="D7" s="7"/>
      <c r="E7" s="241"/>
      <c r="F7" s="7"/>
      <c r="G7" s="242"/>
      <c r="H7" s="7"/>
      <c r="I7" s="72"/>
    </row>
    <row r="8" spans="1:9" ht="21" x14ac:dyDescent="0.25">
      <c r="A8" s="1"/>
      <c r="B8" s="1"/>
      <c r="C8" s="1"/>
      <c r="D8" s="1"/>
      <c r="E8" s="241"/>
      <c r="F8" s="1"/>
      <c r="G8" s="242"/>
      <c r="H8" s="1"/>
      <c r="I8" s="72"/>
    </row>
    <row r="9" spans="1:9" ht="22" thickBot="1" x14ac:dyDescent="0.3">
      <c r="A9" s="1"/>
      <c r="B9" s="1"/>
      <c r="C9" s="34" t="s">
        <v>64</v>
      </c>
      <c r="D9" s="1"/>
      <c r="E9" s="241"/>
      <c r="F9" s="1"/>
      <c r="G9" s="242"/>
      <c r="H9" s="1"/>
      <c r="I9" s="72"/>
    </row>
    <row r="10" spans="1:9" ht="22" thickBot="1" x14ac:dyDescent="0.3">
      <c r="A10" s="1"/>
      <c r="B10" s="1"/>
      <c r="C10" s="1"/>
      <c r="D10" s="1"/>
      <c r="E10" s="241"/>
      <c r="F10" s="1"/>
      <c r="G10" s="242"/>
      <c r="H10" s="1"/>
      <c r="I10" s="72"/>
    </row>
    <row r="11" spans="1:9" ht="21" x14ac:dyDescent="0.25">
      <c r="A11" s="1"/>
      <c r="B11" s="1" t="s">
        <v>128</v>
      </c>
      <c r="C11" s="7">
        <v>0</v>
      </c>
      <c r="D11" s="159">
        <f t="shared" ref="D11:I16" si="1">cr_volts/cr_amps</f>
        <v>0.69000000000000006</v>
      </c>
      <c r="E11" s="243">
        <f t="shared" si="1"/>
        <v>0.69000000000000006</v>
      </c>
      <c r="F11" s="244">
        <f t="shared" si="1"/>
        <v>0.69000000000000006</v>
      </c>
      <c r="G11" s="245">
        <f t="shared" si="1"/>
        <v>0.69000000000000006</v>
      </c>
      <c r="H11" s="244">
        <f t="shared" si="1"/>
        <v>0.69000000000000006</v>
      </c>
      <c r="I11" s="246">
        <f t="shared" si="1"/>
        <v>0.69000000000000006</v>
      </c>
    </row>
    <row r="12" spans="1:9" ht="21" x14ac:dyDescent="0.25">
      <c r="A12" s="1"/>
      <c r="B12" s="1"/>
      <c r="C12" s="7">
        <f>C13/2</f>
        <v>6.25</v>
      </c>
      <c r="D12" s="169">
        <f t="shared" si="1"/>
        <v>0.69000000000000006</v>
      </c>
      <c r="E12" s="247">
        <f t="shared" si="1"/>
        <v>0.69000000000000006</v>
      </c>
      <c r="F12" s="1">
        <f t="shared" si="1"/>
        <v>0.69000000000000006</v>
      </c>
      <c r="G12" s="242">
        <f t="shared" si="1"/>
        <v>0.69000000000000006</v>
      </c>
      <c r="H12" s="1">
        <f t="shared" si="1"/>
        <v>0.69000000000000006</v>
      </c>
      <c r="I12" s="248">
        <f t="shared" si="1"/>
        <v>0.69000000000000006</v>
      </c>
    </row>
    <row r="13" spans="1:9" ht="21" x14ac:dyDescent="0.25">
      <c r="A13" s="1"/>
      <c r="B13" s="1"/>
      <c r="C13" s="7">
        <f>C14/2</f>
        <v>12.5</v>
      </c>
      <c r="D13" s="169">
        <f t="shared" si="1"/>
        <v>0.69000000000000006</v>
      </c>
      <c r="E13" s="247">
        <f t="shared" si="1"/>
        <v>0.69000000000000006</v>
      </c>
      <c r="F13" s="1">
        <f t="shared" si="1"/>
        <v>0.69000000000000006</v>
      </c>
      <c r="G13" s="242">
        <f t="shared" si="1"/>
        <v>0.69000000000000006</v>
      </c>
      <c r="H13" s="1">
        <f t="shared" si="1"/>
        <v>0.69000000000000006</v>
      </c>
      <c r="I13" s="248">
        <f t="shared" si="1"/>
        <v>0.69000000000000006</v>
      </c>
    </row>
    <row r="14" spans="1:9" ht="21" x14ac:dyDescent="0.25">
      <c r="A14" s="1"/>
      <c r="B14" s="1"/>
      <c r="C14" s="7">
        <f>C15/2</f>
        <v>25</v>
      </c>
      <c r="D14" s="169">
        <f t="shared" si="1"/>
        <v>0.69000000000000006</v>
      </c>
      <c r="E14" s="247">
        <f t="shared" si="1"/>
        <v>0.69000000000000006</v>
      </c>
      <c r="F14" s="1">
        <f t="shared" si="1"/>
        <v>0.69000000000000006</v>
      </c>
      <c r="G14" s="242">
        <f t="shared" si="1"/>
        <v>0.69000000000000006</v>
      </c>
      <c r="H14" s="1">
        <f t="shared" si="1"/>
        <v>0.69000000000000006</v>
      </c>
      <c r="I14" s="248">
        <f t="shared" si="1"/>
        <v>0.69000000000000006</v>
      </c>
    </row>
    <row r="15" spans="1:9" ht="21" x14ac:dyDescent="0.25">
      <c r="A15" s="1"/>
      <c r="B15" s="1"/>
      <c r="C15" s="7">
        <f>C16/2</f>
        <v>50</v>
      </c>
      <c r="D15" s="169">
        <f t="shared" si="1"/>
        <v>0.69000000000000006</v>
      </c>
      <c r="E15" s="247">
        <f t="shared" si="1"/>
        <v>0.69000000000000006</v>
      </c>
      <c r="F15" s="1">
        <f t="shared" si="1"/>
        <v>0.69000000000000006</v>
      </c>
      <c r="G15" s="242">
        <f t="shared" si="1"/>
        <v>0.69000000000000006</v>
      </c>
      <c r="H15" s="1">
        <f t="shared" si="1"/>
        <v>0.69000000000000006</v>
      </c>
      <c r="I15" s="248">
        <f t="shared" si="1"/>
        <v>0.69000000000000006</v>
      </c>
    </row>
    <row r="16" spans="1:9" ht="22" thickBot="1" x14ac:dyDescent="0.3">
      <c r="A16" s="1"/>
      <c r="B16" s="1"/>
      <c r="C16" s="7">
        <v>100</v>
      </c>
      <c r="D16" s="204">
        <f t="shared" si="1"/>
        <v>0.69000000000000006</v>
      </c>
      <c r="E16" s="249">
        <f t="shared" si="1"/>
        <v>0.69000000000000006</v>
      </c>
      <c r="F16" s="95">
        <f t="shared" si="1"/>
        <v>0.69000000000000006</v>
      </c>
      <c r="G16" s="250">
        <f t="shared" si="1"/>
        <v>0.69000000000000006</v>
      </c>
      <c r="H16" s="95">
        <f t="shared" si="1"/>
        <v>0.69000000000000006</v>
      </c>
      <c r="I16" s="251">
        <f t="shared" si="1"/>
        <v>0.69000000000000006</v>
      </c>
    </row>
    <row r="17" spans="1:9" ht="22" thickBot="1" x14ac:dyDescent="0.3">
      <c r="A17" s="1"/>
      <c r="B17" s="1"/>
      <c r="C17" s="1"/>
      <c r="D17" s="1"/>
      <c r="E17" s="241"/>
      <c r="F17" s="1"/>
      <c r="G17" s="242"/>
      <c r="H17" s="1"/>
      <c r="I17" s="72"/>
    </row>
    <row r="18" spans="1:9" ht="21" x14ac:dyDescent="0.25">
      <c r="A18" s="1"/>
      <c r="B18" s="1" t="s">
        <v>129</v>
      </c>
      <c r="C18" s="7">
        <f t="shared" ref="C18:C23" si="2">C11</f>
        <v>0</v>
      </c>
      <c r="D18" s="252">
        <f t="shared" ref="D18:I23" si="3">cr_volts*cr_amps</f>
        <v>276</v>
      </c>
      <c r="E18" s="253">
        <f t="shared" si="3"/>
        <v>276</v>
      </c>
      <c r="F18" s="254">
        <f t="shared" si="3"/>
        <v>276</v>
      </c>
      <c r="G18" s="255">
        <f t="shared" si="3"/>
        <v>276</v>
      </c>
      <c r="H18" s="254">
        <f t="shared" si="3"/>
        <v>276</v>
      </c>
      <c r="I18" s="256">
        <f t="shared" si="3"/>
        <v>276</v>
      </c>
    </row>
    <row r="19" spans="1:9" ht="21" x14ac:dyDescent="0.25">
      <c r="A19" s="1"/>
      <c r="B19" s="1"/>
      <c r="C19" s="7">
        <f t="shared" si="2"/>
        <v>6.25</v>
      </c>
      <c r="D19" s="257">
        <f t="shared" si="3"/>
        <v>276</v>
      </c>
      <c r="E19" s="258">
        <f t="shared" si="3"/>
        <v>276</v>
      </c>
      <c r="F19" s="6">
        <f t="shared" si="3"/>
        <v>276</v>
      </c>
      <c r="G19" s="259">
        <f t="shared" si="3"/>
        <v>276</v>
      </c>
      <c r="H19" s="6">
        <f t="shared" si="3"/>
        <v>276</v>
      </c>
      <c r="I19" s="260">
        <f t="shared" si="3"/>
        <v>276</v>
      </c>
    </row>
    <row r="20" spans="1:9" ht="21" x14ac:dyDescent="0.25">
      <c r="A20" s="1"/>
      <c r="B20" s="1"/>
      <c r="C20" s="7">
        <f t="shared" si="2"/>
        <v>12.5</v>
      </c>
      <c r="D20" s="257">
        <f t="shared" si="3"/>
        <v>276</v>
      </c>
      <c r="E20" s="258">
        <f t="shared" si="3"/>
        <v>276</v>
      </c>
      <c r="F20" s="6">
        <f t="shared" si="3"/>
        <v>276</v>
      </c>
      <c r="G20" s="259">
        <f t="shared" si="3"/>
        <v>276</v>
      </c>
      <c r="H20" s="6">
        <f t="shared" si="3"/>
        <v>276</v>
      </c>
      <c r="I20" s="260">
        <f t="shared" si="3"/>
        <v>276</v>
      </c>
    </row>
    <row r="21" spans="1:9" ht="21" x14ac:dyDescent="0.25">
      <c r="A21" s="1"/>
      <c r="B21" s="1"/>
      <c r="C21" s="7">
        <f t="shared" si="2"/>
        <v>25</v>
      </c>
      <c r="D21" s="257">
        <f t="shared" si="3"/>
        <v>276</v>
      </c>
      <c r="E21" s="258">
        <f t="shared" si="3"/>
        <v>276</v>
      </c>
      <c r="F21" s="6">
        <f t="shared" si="3"/>
        <v>276</v>
      </c>
      <c r="G21" s="259">
        <f t="shared" si="3"/>
        <v>276</v>
      </c>
      <c r="H21" s="6">
        <f t="shared" si="3"/>
        <v>276</v>
      </c>
      <c r="I21" s="260">
        <f t="shared" si="3"/>
        <v>276</v>
      </c>
    </row>
    <row r="22" spans="1:9" ht="21" x14ac:dyDescent="0.25">
      <c r="A22" s="1"/>
      <c r="B22" s="1"/>
      <c r="C22" s="7">
        <f t="shared" si="2"/>
        <v>50</v>
      </c>
      <c r="D22" s="257">
        <f t="shared" si="3"/>
        <v>276</v>
      </c>
      <c r="E22" s="258">
        <f t="shared" si="3"/>
        <v>276</v>
      </c>
      <c r="F22" s="6">
        <f t="shared" si="3"/>
        <v>276</v>
      </c>
      <c r="G22" s="259">
        <f t="shared" si="3"/>
        <v>276</v>
      </c>
      <c r="H22" s="6">
        <f t="shared" si="3"/>
        <v>276</v>
      </c>
      <c r="I22" s="260">
        <f t="shared" si="3"/>
        <v>276</v>
      </c>
    </row>
    <row r="23" spans="1:9" ht="22" thickBot="1" x14ac:dyDescent="0.3">
      <c r="A23" s="1"/>
      <c r="B23" s="1"/>
      <c r="C23" s="7">
        <f t="shared" si="2"/>
        <v>100</v>
      </c>
      <c r="D23" s="261">
        <f t="shared" si="3"/>
        <v>276</v>
      </c>
      <c r="E23" s="262">
        <f t="shared" si="3"/>
        <v>276</v>
      </c>
      <c r="F23" s="263">
        <f t="shared" si="3"/>
        <v>276</v>
      </c>
      <c r="G23" s="264">
        <f t="shared" si="3"/>
        <v>276</v>
      </c>
      <c r="H23" s="263">
        <f t="shared" si="3"/>
        <v>276</v>
      </c>
      <c r="I23" s="265">
        <f t="shared" si="3"/>
        <v>276</v>
      </c>
    </row>
    <row r="24" spans="1:9" ht="22" thickBot="1" x14ac:dyDescent="0.3">
      <c r="A24" s="1"/>
      <c r="B24" s="1"/>
      <c r="C24" s="1"/>
      <c r="D24" s="1"/>
      <c r="E24" s="241"/>
      <c r="F24" s="1"/>
      <c r="G24" s="242"/>
      <c r="H24" s="1"/>
      <c r="I24" s="72"/>
    </row>
    <row r="25" spans="1:9" ht="21" x14ac:dyDescent="0.25">
      <c r="A25" s="1"/>
      <c r="B25" s="1" t="s">
        <v>130</v>
      </c>
      <c r="C25" s="7">
        <f t="shared" ref="C25:C30" si="4">C18</f>
        <v>0</v>
      </c>
      <c r="D25" s="266">
        <f>D$6*$C25*2</f>
        <v>0</v>
      </c>
      <c r="E25" s="267">
        <f t="shared" ref="E25:I30" si="5">E$6*$C25*2</f>
        <v>0</v>
      </c>
      <c r="F25" s="268">
        <f t="shared" si="5"/>
        <v>0</v>
      </c>
      <c r="G25" s="269">
        <f t="shared" si="5"/>
        <v>0</v>
      </c>
      <c r="H25" s="268">
        <f t="shared" si="5"/>
        <v>0</v>
      </c>
      <c r="I25" s="270">
        <f t="shared" si="5"/>
        <v>0</v>
      </c>
    </row>
    <row r="26" spans="1:9" ht="21" x14ac:dyDescent="0.25">
      <c r="A26" s="1"/>
      <c r="B26" s="1"/>
      <c r="C26" s="7">
        <f t="shared" si="4"/>
        <v>6.25</v>
      </c>
      <c r="D26" s="271">
        <f t="shared" ref="D26:D30" si="6">D$6*$C26*2</f>
        <v>4.9375E-3</v>
      </c>
      <c r="E26" s="272">
        <f t="shared" si="5"/>
        <v>6.2249999999999996E-3</v>
      </c>
      <c r="F26" s="3">
        <f t="shared" si="5"/>
        <v>1.30875E-2</v>
      </c>
      <c r="G26" s="273">
        <f t="shared" si="5"/>
        <v>2.14875E-2</v>
      </c>
      <c r="H26" s="3">
        <f t="shared" si="5"/>
        <v>2.6025E-2</v>
      </c>
      <c r="I26" s="274">
        <f t="shared" si="5"/>
        <v>3.3774999999999999E-2</v>
      </c>
    </row>
    <row r="27" spans="1:9" ht="21" x14ac:dyDescent="0.25">
      <c r="A27" s="1"/>
      <c r="B27" s="1"/>
      <c r="C27" s="7">
        <f t="shared" si="4"/>
        <v>12.5</v>
      </c>
      <c r="D27" s="271">
        <f t="shared" si="6"/>
        <v>9.8750000000000001E-3</v>
      </c>
      <c r="E27" s="272">
        <f t="shared" si="5"/>
        <v>1.2449999999999999E-2</v>
      </c>
      <c r="F27" s="3">
        <f t="shared" si="5"/>
        <v>2.6175E-2</v>
      </c>
      <c r="G27" s="273">
        <f t="shared" si="5"/>
        <v>4.2974999999999999E-2</v>
      </c>
      <c r="H27" s="3">
        <f t="shared" si="5"/>
        <v>5.2049999999999999E-2</v>
      </c>
      <c r="I27" s="274">
        <f t="shared" si="5"/>
        <v>6.7549999999999999E-2</v>
      </c>
    </row>
    <row r="28" spans="1:9" ht="21" x14ac:dyDescent="0.25">
      <c r="A28" s="1"/>
      <c r="B28" s="1"/>
      <c r="C28" s="7">
        <f t="shared" si="4"/>
        <v>25</v>
      </c>
      <c r="D28" s="271">
        <f t="shared" si="6"/>
        <v>1.975E-2</v>
      </c>
      <c r="E28" s="272">
        <f t="shared" si="5"/>
        <v>2.4899999999999999E-2</v>
      </c>
      <c r="F28" s="3">
        <f t="shared" si="5"/>
        <v>5.2350000000000001E-2</v>
      </c>
      <c r="G28" s="273">
        <f t="shared" si="5"/>
        <v>8.5949999999999999E-2</v>
      </c>
      <c r="H28" s="3">
        <f t="shared" si="5"/>
        <v>0.1041</v>
      </c>
      <c r="I28" s="274">
        <f t="shared" si="5"/>
        <v>0.1351</v>
      </c>
    </row>
    <row r="29" spans="1:9" ht="21" x14ac:dyDescent="0.25">
      <c r="A29" s="1"/>
      <c r="B29" s="1"/>
      <c r="C29" s="7">
        <f t="shared" si="4"/>
        <v>50</v>
      </c>
      <c r="D29" s="271">
        <f t="shared" si="6"/>
        <v>3.95E-2</v>
      </c>
      <c r="E29" s="272">
        <f t="shared" si="5"/>
        <v>4.9799999999999997E-2</v>
      </c>
      <c r="F29" s="3">
        <f t="shared" si="5"/>
        <v>0.1047</v>
      </c>
      <c r="G29" s="273">
        <f t="shared" si="5"/>
        <v>0.1719</v>
      </c>
      <c r="H29" s="3">
        <f t="shared" si="5"/>
        <v>0.2082</v>
      </c>
      <c r="I29" s="274">
        <f t="shared" si="5"/>
        <v>0.2702</v>
      </c>
    </row>
    <row r="30" spans="1:9" ht="22" thickBot="1" x14ac:dyDescent="0.3">
      <c r="A30" s="1"/>
      <c r="B30" s="1"/>
      <c r="C30" s="7">
        <f t="shared" si="4"/>
        <v>100</v>
      </c>
      <c r="D30" s="275">
        <f t="shared" si="6"/>
        <v>7.9000000000000001E-2</v>
      </c>
      <c r="E30" s="276">
        <f t="shared" si="5"/>
        <v>9.9599999999999994E-2</v>
      </c>
      <c r="F30" s="277">
        <f t="shared" si="5"/>
        <v>0.2094</v>
      </c>
      <c r="G30" s="278">
        <f t="shared" si="5"/>
        <v>0.34379999999999999</v>
      </c>
      <c r="H30" s="277">
        <f t="shared" si="5"/>
        <v>0.41639999999999999</v>
      </c>
      <c r="I30" s="279">
        <f t="shared" si="5"/>
        <v>0.54039999999999999</v>
      </c>
    </row>
    <row r="31" spans="1:9" ht="22" thickBot="1" x14ac:dyDescent="0.3">
      <c r="A31" s="1"/>
      <c r="B31" s="1"/>
      <c r="C31" s="1"/>
      <c r="D31" s="1"/>
      <c r="E31" s="241"/>
      <c r="F31" s="1"/>
      <c r="G31" s="242"/>
      <c r="H31" s="1"/>
      <c r="I31" s="72"/>
    </row>
    <row r="32" spans="1:9" ht="21" x14ac:dyDescent="0.25">
      <c r="A32" s="1"/>
      <c r="B32" s="662" t="s">
        <v>420</v>
      </c>
      <c r="C32" s="7">
        <f t="shared" ref="C32:C37" si="7">C25</f>
        <v>0</v>
      </c>
      <c r="D32" s="266">
        <f t="shared" ref="D32:I37" si="8">cr_vf+(cr_volts-cr_vf)/(1+POWER(D25,cr_bconst2)*cr_bconst)</f>
        <v>13.8</v>
      </c>
      <c r="E32" s="267">
        <f t="shared" si="8"/>
        <v>13.8</v>
      </c>
      <c r="F32" s="268">
        <f t="shared" si="8"/>
        <v>13.8</v>
      </c>
      <c r="G32" s="269">
        <f t="shared" si="8"/>
        <v>13.8</v>
      </c>
      <c r="H32" s="268">
        <f t="shared" si="8"/>
        <v>13.8</v>
      </c>
      <c r="I32" s="270">
        <f t="shared" si="8"/>
        <v>13.8</v>
      </c>
    </row>
    <row r="33" spans="1:9" ht="21" x14ac:dyDescent="0.25">
      <c r="A33" s="1"/>
      <c r="B33" s="1"/>
      <c r="C33" s="7">
        <f t="shared" si="7"/>
        <v>6.25</v>
      </c>
      <c r="D33" s="271">
        <f t="shared" si="8"/>
        <v>13.706309659808316</v>
      </c>
      <c r="E33" s="272">
        <f t="shared" si="8"/>
        <v>13.683964844321395</v>
      </c>
      <c r="F33" s="3">
        <f t="shared" si="8"/>
        <v>13.575173292522052</v>
      </c>
      <c r="G33" s="273">
        <f t="shared" si="8"/>
        <v>13.461004631589216</v>
      </c>
      <c r="H33" s="3">
        <f t="shared" si="8"/>
        <v>13.406303197462275</v>
      </c>
      <c r="I33" s="274">
        <f t="shared" si="8"/>
        <v>13.32213982514839</v>
      </c>
    </row>
    <row r="34" spans="1:9" ht="21" x14ac:dyDescent="0.25">
      <c r="A34" s="1"/>
      <c r="B34" s="1"/>
      <c r="C34" s="7">
        <f t="shared" si="7"/>
        <v>12.5</v>
      </c>
      <c r="D34" s="271">
        <f t="shared" si="8"/>
        <v>13.624102452445369</v>
      </c>
      <c r="E34" s="272">
        <f t="shared" si="8"/>
        <v>13.584626232341801</v>
      </c>
      <c r="F34" s="3">
        <f t="shared" si="8"/>
        <v>13.404568060408129</v>
      </c>
      <c r="G34" s="273">
        <f t="shared" si="8"/>
        <v>13.234848177227532</v>
      </c>
      <c r="H34" s="3">
        <f t="shared" si="8"/>
        <v>13.159648254389511</v>
      </c>
      <c r="I34" s="274">
        <f t="shared" si="8"/>
        <v>13.050845175196709</v>
      </c>
    </row>
    <row r="35" spans="1:9" ht="21" x14ac:dyDescent="0.25">
      <c r="A35" s="1"/>
      <c r="B35" s="1"/>
      <c r="C35" s="7">
        <f t="shared" si="7"/>
        <v>25</v>
      </c>
      <c r="D35" s="271">
        <f t="shared" si="8"/>
        <v>13.483157741159088</v>
      </c>
      <c r="E35" s="272">
        <f t="shared" si="8"/>
        <v>13.419461240280819</v>
      </c>
      <c r="F35" s="3">
        <f t="shared" si="8"/>
        <v>13.15732282998262</v>
      </c>
      <c r="G35" s="273">
        <f t="shared" si="8"/>
        <v>12.946005963956035</v>
      </c>
      <c r="H35" s="3">
        <f t="shared" si="8"/>
        <v>12.8615799287331</v>
      </c>
      <c r="I35" s="274">
        <f t="shared" si="8"/>
        <v>12.748072376061897</v>
      </c>
    </row>
    <row r="36" spans="1:9" ht="21" x14ac:dyDescent="0.25">
      <c r="A36" s="1"/>
      <c r="B36" s="1"/>
      <c r="C36" s="7">
        <f t="shared" si="7"/>
        <v>50</v>
      </c>
      <c r="D36" s="271">
        <f t="shared" si="8"/>
        <v>13.266382508384146</v>
      </c>
      <c r="E36" s="272">
        <f t="shared" si="8"/>
        <v>13.177400308480035</v>
      </c>
      <c r="F36" s="3">
        <f t="shared" si="8"/>
        <v>12.859050368502102</v>
      </c>
      <c r="G36" s="273">
        <f t="shared" si="8"/>
        <v>12.647338491650876</v>
      </c>
      <c r="H36" s="3">
        <f t="shared" si="8"/>
        <v>12.571722591261828</v>
      </c>
      <c r="I36" s="274">
        <f t="shared" si="8"/>
        <v>12.476991787925114</v>
      </c>
    </row>
    <row r="37" spans="1:9" ht="22" thickBot="1" x14ac:dyDescent="0.3">
      <c r="A37" s="1"/>
      <c r="B37" s="1"/>
      <c r="C37" s="7">
        <f t="shared" si="7"/>
        <v>100</v>
      </c>
      <c r="D37" s="275">
        <f t="shared" si="8"/>
        <v>12.982993824832571</v>
      </c>
      <c r="E37" s="276">
        <f t="shared" si="8"/>
        <v>12.881047074050858</v>
      </c>
      <c r="F37" s="277">
        <f t="shared" si="8"/>
        <v>12.569527561976923</v>
      </c>
      <c r="G37" s="278">
        <f t="shared" si="8"/>
        <v>12.398918118484183</v>
      </c>
      <c r="H37" s="277">
        <f t="shared" si="8"/>
        <v>12.343668506076703</v>
      </c>
      <c r="I37" s="279">
        <f t="shared" si="8"/>
        <v>12.278167193327981</v>
      </c>
    </row>
    <row r="38" spans="1:9" ht="22" thickBot="1" x14ac:dyDescent="0.3">
      <c r="A38" s="1"/>
      <c r="B38" s="1"/>
      <c r="C38" s="1"/>
      <c r="D38" s="1"/>
      <c r="E38" s="241"/>
      <c r="F38" s="1"/>
      <c r="G38" s="242"/>
      <c r="H38" s="1"/>
      <c r="I38" s="72"/>
    </row>
    <row r="39" spans="1:9" ht="21" x14ac:dyDescent="0.25">
      <c r="A39" s="1"/>
      <c r="B39" s="1" t="s">
        <v>421</v>
      </c>
      <c r="C39" s="7">
        <f t="shared" ref="C39:C44" si="9">C32</f>
        <v>0</v>
      </c>
      <c r="D39" s="266">
        <f t="shared" ref="D39:I44" si="10">IF(D25=0,cr_amps,(cr_volts-D32)/D25)</f>
        <v>20</v>
      </c>
      <c r="E39" s="267">
        <f t="shared" si="10"/>
        <v>20</v>
      </c>
      <c r="F39" s="268">
        <f t="shared" si="10"/>
        <v>20</v>
      </c>
      <c r="G39" s="269">
        <f t="shared" si="10"/>
        <v>20</v>
      </c>
      <c r="H39" s="268">
        <f t="shared" si="10"/>
        <v>20</v>
      </c>
      <c r="I39" s="270">
        <f t="shared" si="10"/>
        <v>20</v>
      </c>
    </row>
    <row r="40" spans="1:9" ht="21" x14ac:dyDescent="0.25">
      <c r="A40" s="1"/>
      <c r="B40" s="1"/>
      <c r="C40" s="7">
        <f t="shared" si="9"/>
        <v>6.25</v>
      </c>
      <c r="D40" s="663">
        <f t="shared" si="10"/>
        <v>18.975258772999513</v>
      </c>
      <c r="E40" s="272">
        <f t="shared" si="10"/>
        <v>18.640185651181707</v>
      </c>
      <c r="F40" s="3">
        <f t="shared" si="10"/>
        <v>17.178736005955944</v>
      </c>
      <c r="G40" s="273">
        <f t="shared" si="10"/>
        <v>15.776398762572898</v>
      </c>
      <c r="H40" s="3">
        <f t="shared" si="10"/>
        <v>15.12763890634872</v>
      </c>
      <c r="I40" s="274">
        <f t="shared" si="10"/>
        <v>14.148339743941088</v>
      </c>
    </row>
    <row r="41" spans="1:9" ht="21" x14ac:dyDescent="0.25">
      <c r="A41" s="1"/>
      <c r="B41" s="1"/>
      <c r="C41" s="7">
        <f t="shared" si="9"/>
        <v>12.5</v>
      </c>
      <c r="D41" s="271">
        <f t="shared" si="10"/>
        <v>17.81240987895006</v>
      </c>
      <c r="E41" s="272">
        <f t="shared" si="10"/>
        <v>17.299097803871465</v>
      </c>
      <c r="F41" s="3">
        <f t="shared" si="10"/>
        <v>15.107237424713325</v>
      </c>
      <c r="G41" s="273">
        <f t="shared" si="10"/>
        <v>13.150711408318069</v>
      </c>
      <c r="H41" s="3">
        <f t="shared" si="10"/>
        <v>12.302627197127563</v>
      </c>
      <c r="I41" s="274">
        <f t="shared" si="10"/>
        <v>11.090374904563898</v>
      </c>
    </row>
    <row r="42" spans="1:9" ht="21" x14ac:dyDescent="0.25">
      <c r="A42" s="1"/>
      <c r="B42" s="1"/>
      <c r="C42" s="7">
        <f t="shared" si="9"/>
        <v>25</v>
      </c>
      <c r="D42" s="271">
        <f t="shared" si="10"/>
        <v>16.042646017261394</v>
      </c>
      <c r="E42" s="272">
        <f t="shared" si="10"/>
        <v>15.282681113220137</v>
      </c>
      <c r="F42" s="3">
        <f t="shared" si="10"/>
        <v>12.276545750093229</v>
      </c>
      <c r="G42" s="273">
        <f t="shared" si="10"/>
        <v>9.9359399190688329</v>
      </c>
      <c r="H42" s="3">
        <f t="shared" si="10"/>
        <v>9.014602029461102</v>
      </c>
      <c r="I42" s="274">
        <f t="shared" si="10"/>
        <v>7.786288852243552</v>
      </c>
    </row>
    <row r="43" spans="1:9" ht="21" x14ac:dyDescent="0.25">
      <c r="A43" s="1"/>
      <c r="B43" s="1"/>
      <c r="C43" s="7">
        <f t="shared" si="9"/>
        <v>50</v>
      </c>
      <c r="D43" s="271">
        <f t="shared" si="10"/>
        <v>13.509303585211523</v>
      </c>
      <c r="E43" s="272">
        <f t="shared" si="10"/>
        <v>12.502001837750319</v>
      </c>
      <c r="F43" s="3">
        <f t="shared" si="10"/>
        <v>8.9871024975921596</v>
      </c>
      <c r="G43" s="273">
        <f t="shared" si="10"/>
        <v>6.7054188967372008</v>
      </c>
      <c r="H43" s="3">
        <f t="shared" si="10"/>
        <v>5.8995072465810399</v>
      </c>
      <c r="I43" s="274">
        <f t="shared" si="10"/>
        <v>4.8964034495739721</v>
      </c>
    </row>
    <row r="44" spans="1:9" ht="22" thickBot="1" x14ac:dyDescent="0.3">
      <c r="A44" s="1"/>
      <c r="B44" s="1"/>
      <c r="C44" s="7">
        <f t="shared" si="9"/>
        <v>100</v>
      </c>
      <c r="D44" s="275">
        <f t="shared" si="10"/>
        <v>10.341850318575064</v>
      </c>
      <c r="E44" s="276">
        <f t="shared" si="10"/>
        <v>9.2264349994893813</v>
      </c>
      <c r="F44" s="277">
        <f t="shared" si="10"/>
        <v>5.8761816524502297</v>
      </c>
      <c r="G44" s="278">
        <f t="shared" si="10"/>
        <v>4.0752817961483947</v>
      </c>
      <c r="H44" s="277">
        <f t="shared" si="10"/>
        <v>3.4974339431395229</v>
      </c>
      <c r="I44" s="664">
        <f t="shared" si="10"/>
        <v>2.8161228842931525</v>
      </c>
    </row>
    <row r="45" spans="1:9" ht="22" thickBot="1" x14ac:dyDescent="0.3">
      <c r="A45" s="1"/>
      <c r="B45" s="1"/>
      <c r="C45" s="1"/>
      <c r="D45" s="1"/>
      <c r="E45" s="241"/>
      <c r="F45" s="1"/>
      <c r="G45" s="242"/>
      <c r="H45" s="1"/>
      <c r="I45" s="72"/>
    </row>
    <row r="46" spans="1:9" ht="21" x14ac:dyDescent="0.25">
      <c r="A46" s="1"/>
      <c r="B46" s="1" t="s">
        <v>422</v>
      </c>
      <c r="C46" s="7">
        <f t="shared" ref="C46:C51" si="11">C39</f>
        <v>0</v>
      </c>
      <c r="D46" s="647">
        <f>D32/D39</f>
        <v>0.69000000000000006</v>
      </c>
      <c r="E46" s="648">
        <f t="shared" ref="E46:I46" si="12">E32/E39</f>
        <v>0.69000000000000006</v>
      </c>
      <c r="F46" s="649">
        <f t="shared" si="12"/>
        <v>0.69000000000000006</v>
      </c>
      <c r="G46" s="650">
        <f t="shared" si="12"/>
        <v>0.69000000000000006</v>
      </c>
      <c r="H46" s="649">
        <f t="shared" si="12"/>
        <v>0.69000000000000006</v>
      </c>
      <c r="I46" s="651">
        <f t="shared" si="12"/>
        <v>0.69000000000000006</v>
      </c>
    </row>
    <row r="47" spans="1:9" ht="21" x14ac:dyDescent="0.25">
      <c r="A47" s="1"/>
      <c r="B47" s="1"/>
      <c r="C47" s="7">
        <f t="shared" si="11"/>
        <v>6.25</v>
      </c>
      <c r="D47" s="652">
        <f t="shared" ref="D47:I47" si="13">D33/D40</f>
        <v>0.72232530917109017</v>
      </c>
      <c r="E47" s="653">
        <f t="shared" si="13"/>
        <v>0.73411097402100667</v>
      </c>
      <c r="F47" s="5">
        <f t="shared" si="13"/>
        <v>0.79023120722126938</v>
      </c>
      <c r="G47" s="654">
        <f t="shared" si="13"/>
        <v>0.85323684030625535</v>
      </c>
      <c r="H47" s="5">
        <f t="shared" si="13"/>
        <v>0.88621253326161564</v>
      </c>
      <c r="I47" s="655">
        <f t="shared" si="13"/>
        <v>0.94160446146011501</v>
      </c>
    </row>
    <row r="48" spans="1:9" ht="21" x14ac:dyDescent="0.25">
      <c r="A48" s="1"/>
      <c r="B48" s="1"/>
      <c r="C48" s="7">
        <f t="shared" si="11"/>
        <v>12.5</v>
      </c>
      <c r="D48" s="652">
        <f t="shared" ref="D48:I49" si="14">D34/D41</f>
        <v>0.76486576184987454</v>
      </c>
      <c r="E48" s="653">
        <f t="shared" si="14"/>
        <v>0.78527946291520589</v>
      </c>
      <c r="F48" s="5">
        <f t="shared" si="14"/>
        <v>0.88729445917624439</v>
      </c>
      <c r="G48" s="654">
        <f t="shared" si="14"/>
        <v>1.0063978872546959</v>
      </c>
      <c r="H48" s="5">
        <f t="shared" si="14"/>
        <v>1.0696616294657817</v>
      </c>
      <c r="I48" s="655">
        <f t="shared" si="14"/>
        <v>1.1767722270440146</v>
      </c>
    </row>
    <row r="49" spans="1:9" ht="21" x14ac:dyDescent="0.25">
      <c r="A49" s="1"/>
      <c r="B49" s="1"/>
      <c r="C49" s="7">
        <f t="shared" si="11"/>
        <v>25</v>
      </c>
      <c r="D49" s="652">
        <f t="shared" si="14"/>
        <v>0.84045722424166347</v>
      </c>
      <c r="E49" s="653">
        <f t="shared" si="14"/>
        <v>0.87808291888472645</v>
      </c>
      <c r="F49" s="5">
        <f t="shared" si="14"/>
        <v>1.0717446990235591</v>
      </c>
      <c r="G49" s="654">
        <f t="shared" si="14"/>
        <v>1.3029472872627128</v>
      </c>
      <c r="H49" s="5">
        <f t="shared" si="14"/>
        <v>1.4267496098773396</v>
      </c>
      <c r="I49" s="655">
        <f t="shared" si="14"/>
        <v>1.6372462694327927</v>
      </c>
    </row>
    <row r="50" spans="1:9" ht="21" x14ac:dyDescent="0.25">
      <c r="A50" s="1"/>
      <c r="B50" s="1"/>
      <c r="C50" s="7">
        <f t="shared" si="11"/>
        <v>50</v>
      </c>
      <c r="D50" s="652">
        <f t="shared" ref="D50:I50" si="15">D36/D43</f>
        <v>0.98201823837216151</v>
      </c>
      <c r="E50" s="653">
        <f t="shared" si="15"/>
        <v>1.0540232259997213</v>
      </c>
      <c r="F50" s="5">
        <f t="shared" si="15"/>
        <v>1.4308338390429307</v>
      </c>
      <c r="G50" s="654">
        <f t="shared" si="15"/>
        <v>1.8861369716670442</v>
      </c>
      <c r="H50" s="5">
        <f t="shared" si="15"/>
        <v>2.1309784132475738</v>
      </c>
      <c r="I50" s="655">
        <f t="shared" si="15"/>
        <v>2.5481952041780209</v>
      </c>
    </row>
    <row r="51" spans="1:9" ht="22" thickBot="1" x14ac:dyDescent="0.3">
      <c r="A51" s="1"/>
      <c r="B51" s="1"/>
      <c r="C51" s="7">
        <f t="shared" si="11"/>
        <v>100</v>
      </c>
      <c r="D51" s="656">
        <f t="shared" ref="D51:I51" si="16">D37/D44</f>
        <v>1.2553840391127815</v>
      </c>
      <c r="E51" s="657">
        <f t="shared" si="16"/>
        <v>1.396102294630996</v>
      </c>
      <c r="F51" s="658">
        <f t="shared" si="16"/>
        <v>2.1390638182085002</v>
      </c>
      <c r="G51" s="659">
        <f t="shared" si="16"/>
        <v>3.0424688987648834</v>
      </c>
      <c r="H51" s="658">
        <f t="shared" si="16"/>
        <v>3.5293500053917324</v>
      </c>
      <c r="I51" s="660">
        <f t="shared" si="16"/>
        <v>4.3599543407033545</v>
      </c>
    </row>
    <row r="52" spans="1:9" ht="22" thickBot="1" x14ac:dyDescent="0.3">
      <c r="A52" s="1"/>
      <c r="B52" s="1"/>
      <c r="C52" s="1"/>
      <c r="D52" s="1"/>
      <c r="E52" s="241"/>
      <c r="F52" s="1"/>
      <c r="G52" s="242"/>
      <c r="H52" s="1"/>
      <c r="I52" s="72"/>
    </row>
    <row r="53" spans="1:9" ht="21" x14ac:dyDescent="0.25">
      <c r="A53" s="1"/>
      <c r="B53" s="1" t="s">
        <v>133</v>
      </c>
      <c r="C53" s="7">
        <f t="shared" ref="C53:C58" si="17">C46</f>
        <v>0</v>
      </c>
      <c r="D53" s="252">
        <f>D39*D32</f>
        <v>276</v>
      </c>
      <c r="E53" s="253">
        <f t="shared" ref="E53:I53" si="18">E39*E32</f>
        <v>276</v>
      </c>
      <c r="F53" s="254">
        <f t="shared" si="18"/>
        <v>276</v>
      </c>
      <c r="G53" s="255">
        <f t="shared" si="18"/>
        <v>276</v>
      </c>
      <c r="H53" s="254">
        <f t="shared" si="18"/>
        <v>276</v>
      </c>
      <c r="I53" s="256">
        <f t="shared" si="18"/>
        <v>276</v>
      </c>
    </row>
    <row r="54" spans="1:9" ht="21" x14ac:dyDescent="0.25">
      <c r="A54" s="1"/>
      <c r="B54" s="1"/>
      <c r="C54" s="7">
        <f t="shared" si="17"/>
        <v>6.25</v>
      </c>
      <c r="D54" s="257">
        <f t="shared" ref="D54:I54" si="19">D40*D33</f>
        <v>260.0807726177257</v>
      </c>
      <c r="E54" s="258">
        <f t="shared" si="19"/>
        <v>255.07164514239457</v>
      </c>
      <c r="F54" s="6">
        <f t="shared" si="19"/>
        <v>233.20431822734008</v>
      </c>
      <c r="G54" s="259">
        <f t="shared" si="19"/>
        <v>212.36617681279213</v>
      </c>
      <c r="H54" s="6">
        <f t="shared" si="19"/>
        <v>202.80571384023756</v>
      </c>
      <c r="I54" s="260">
        <f t="shared" si="19"/>
        <v>188.48616036248734</v>
      </c>
    </row>
    <row r="55" spans="1:9" ht="21" x14ac:dyDescent="0.25">
      <c r="A55" s="1"/>
      <c r="B55" s="1"/>
      <c r="C55" s="7">
        <f t="shared" si="17"/>
        <v>12.5</v>
      </c>
      <c r="D55" s="257">
        <f t="shared" ref="D55:I56" si="20">D41*D34</f>
        <v>242.67809711576564</v>
      </c>
      <c r="E55" s="258">
        <f t="shared" si="20"/>
        <v>235.00177782231876</v>
      </c>
      <c r="F55" s="6">
        <f t="shared" si="20"/>
        <v>202.50599226431461</v>
      </c>
      <c r="G55" s="259">
        <f t="shared" si="20"/>
        <v>174.0476689116237</v>
      </c>
      <c r="H55" s="6">
        <f t="shared" si="20"/>
        <v>161.89824651908467</v>
      </c>
      <c r="I55" s="260">
        <f t="shared" si="20"/>
        <v>144.73876581435042</v>
      </c>
    </row>
    <row r="56" spans="1:9" ht="21" x14ac:dyDescent="0.25">
      <c r="A56" s="1"/>
      <c r="B56" s="1"/>
      <c r="C56" s="7">
        <f t="shared" si="17"/>
        <v>25</v>
      </c>
      <c r="D56" s="257">
        <f t="shared" si="20"/>
        <v>216.30552683631296</v>
      </c>
      <c r="E56" s="258">
        <f t="shared" si="20"/>
        <v>205.08534684642936</v>
      </c>
      <c r="F56" s="6">
        <f t="shared" si="20"/>
        <v>161.52647567102775</v>
      </c>
      <c r="G56" s="259">
        <f t="shared" si="20"/>
        <v>128.63073744977396</v>
      </c>
      <c r="H56" s="6">
        <f t="shared" si="20"/>
        <v>115.94202452763358</v>
      </c>
      <c r="I56" s="260">
        <f t="shared" si="20"/>
        <v>99.260173829324714</v>
      </c>
    </row>
    <row r="57" spans="1:9" ht="21" x14ac:dyDescent="0.25">
      <c r="A57" s="1"/>
      <c r="B57" s="1"/>
      <c r="C57" s="7">
        <f t="shared" si="17"/>
        <v>50</v>
      </c>
      <c r="D57" s="257">
        <f t="shared" ref="D57:I57" si="21">D43*D36</f>
        <v>179.21958878330136</v>
      </c>
      <c r="E57" s="258">
        <f t="shared" si="21"/>
        <v>164.74388287338903</v>
      </c>
      <c r="F57" s="6">
        <f t="shared" si="21"/>
        <v>115.56560368342862</v>
      </c>
      <c r="G57" s="259">
        <f t="shared" si="21"/>
        <v>84.805702515347548</v>
      </c>
      <c r="H57" s="6">
        <f t="shared" si="21"/>
        <v>74.166968529155724</v>
      </c>
      <c r="I57" s="260">
        <f t="shared" si="21"/>
        <v>61.092385630702651</v>
      </c>
    </row>
    <row r="58" spans="1:9" ht="22" thickBot="1" x14ac:dyDescent="0.3">
      <c r="A58" s="1"/>
      <c r="B58" s="1"/>
      <c r="C58" s="7">
        <f t="shared" si="17"/>
        <v>100</v>
      </c>
      <c r="D58" s="261">
        <f t="shared" ref="D58:I58" si="22">D44*D37</f>
        <v>134.26817882340282</v>
      </c>
      <c r="E58" s="262">
        <f t="shared" si="22"/>
        <v>118.84614355409313</v>
      </c>
      <c r="F58" s="263">
        <f t="shared" si="22"/>
        <v>73.86082723965626</v>
      </c>
      <c r="G58" s="264">
        <f t="shared" si="22"/>
        <v>50.529085300193096</v>
      </c>
      <c r="H58" s="263">
        <f t="shared" si="22"/>
        <v>43.171165216014991</v>
      </c>
      <c r="I58" s="265">
        <f t="shared" si="22"/>
        <v>34.576827610308356</v>
      </c>
    </row>
    <row r="59" spans="1:9" ht="22" thickBot="1" x14ac:dyDescent="0.3">
      <c r="A59" s="1"/>
      <c r="B59" s="1"/>
      <c r="C59" s="1"/>
      <c r="D59" s="1"/>
      <c r="E59" s="241"/>
      <c r="F59" s="1"/>
      <c r="G59" s="242"/>
      <c r="H59" s="1"/>
      <c r="I59" s="72"/>
    </row>
    <row r="60" spans="1:9" ht="21" x14ac:dyDescent="0.25">
      <c r="A60" s="1"/>
      <c r="B60" s="1" t="s">
        <v>134</v>
      </c>
      <c r="C60" s="7">
        <f t="shared" ref="C60:C65" si="23">C53</f>
        <v>0</v>
      </c>
      <c r="D60" s="295">
        <f t="shared" ref="D60:I60" si="24">D53/D18</f>
        <v>1</v>
      </c>
      <c r="E60" s="296">
        <f t="shared" si="24"/>
        <v>1</v>
      </c>
      <c r="F60" s="297">
        <f t="shared" si="24"/>
        <v>1</v>
      </c>
      <c r="G60" s="298">
        <f t="shared" si="24"/>
        <v>1</v>
      </c>
      <c r="H60" s="297">
        <f t="shared" si="24"/>
        <v>1</v>
      </c>
      <c r="I60" s="299">
        <f t="shared" si="24"/>
        <v>1</v>
      </c>
    </row>
    <row r="61" spans="1:9" ht="21" x14ac:dyDescent="0.25">
      <c r="A61" s="1"/>
      <c r="B61" s="1"/>
      <c r="C61" s="7">
        <f t="shared" si="23"/>
        <v>6.25</v>
      </c>
      <c r="D61" s="300">
        <f t="shared" ref="D61:I61" si="25">D54/D19</f>
        <v>0.94232163991929596</v>
      </c>
      <c r="E61" s="301">
        <f t="shared" si="25"/>
        <v>0.92417262732751659</v>
      </c>
      <c r="F61" s="302">
        <f t="shared" si="25"/>
        <v>0.84494318198311624</v>
      </c>
      <c r="G61" s="303">
        <f t="shared" si="25"/>
        <v>0.76944266961156571</v>
      </c>
      <c r="H61" s="302">
        <f t="shared" si="25"/>
        <v>0.73480331101535346</v>
      </c>
      <c r="I61" s="304">
        <f t="shared" si="25"/>
        <v>0.68292087087857734</v>
      </c>
    </row>
    <row r="62" spans="1:9" ht="21" x14ac:dyDescent="0.25">
      <c r="A62" s="1"/>
      <c r="B62" s="1"/>
      <c r="C62" s="7">
        <f t="shared" si="23"/>
        <v>12.5</v>
      </c>
      <c r="D62" s="300">
        <f t="shared" ref="D62:I62" si="26">D55/D20</f>
        <v>0.87926846781074508</v>
      </c>
      <c r="E62" s="301">
        <f t="shared" si="26"/>
        <v>0.85145571674753173</v>
      </c>
      <c r="F62" s="302">
        <f t="shared" si="26"/>
        <v>0.73371736327650228</v>
      </c>
      <c r="G62" s="303">
        <f t="shared" si="26"/>
        <v>0.6306074960566076</v>
      </c>
      <c r="H62" s="302">
        <f t="shared" si="26"/>
        <v>0.58658784970682853</v>
      </c>
      <c r="I62" s="304">
        <f t="shared" si="26"/>
        <v>0.52441581816793625</v>
      </c>
    </row>
    <row r="63" spans="1:9" ht="21" x14ac:dyDescent="0.25">
      <c r="A63" s="1"/>
      <c r="B63" s="1"/>
      <c r="C63" s="7">
        <f t="shared" si="23"/>
        <v>25</v>
      </c>
      <c r="D63" s="300">
        <f t="shared" ref="D63:I63" si="27">D56/D21</f>
        <v>0.78371567694316291</v>
      </c>
      <c r="E63" s="301">
        <f t="shared" si="27"/>
        <v>0.74306285089285995</v>
      </c>
      <c r="F63" s="302">
        <f t="shared" si="27"/>
        <v>0.58524085388053537</v>
      </c>
      <c r="G63" s="303">
        <f t="shared" si="27"/>
        <v>0.46605339655715206</v>
      </c>
      <c r="H63" s="302">
        <f t="shared" si="27"/>
        <v>0.42007979901316511</v>
      </c>
      <c r="I63" s="304">
        <f t="shared" si="27"/>
        <v>0.35963831097581417</v>
      </c>
    </row>
    <row r="64" spans="1:9" ht="21" x14ac:dyDescent="0.25">
      <c r="A64" s="1"/>
      <c r="B64" s="1"/>
      <c r="C64" s="7">
        <f t="shared" si="23"/>
        <v>50</v>
      </c>
      <c r="D64" s="300">
        <f t="shared" ref="D64:I64" si="28">D57/D22</f>
        <v>0.64934633617138171</v>
      </c>
      <c r="E64" s="301">
        <f t="shared" si="28"/>
        <v>0.59689812635285877</v>
      </c>
      <c r="F64" s="302">
        <f t="shared" si="28"/>
        <v>0.41871595537474138</v>
      </c>
      <c r="G64" s="303">
        <f t="shared" si="28"/>
        <v>0.30726703809908534</v>
      </c>
      <c r="H64" s="302">
        <f t="shared" si="28"/>
        <v>0.26872090046795555</v>
      </c>
      <c r="I64" s="304">
        <f t="shared" si="28"/>
        <v>0.22134922329964729</v>
      </c>
    </row>
    <row r="65" spans="1:9" ht="22" thickBot="1" x14ac:dyDescent="0.3">
      <c r="A65" s="1"/>
      <c r="B65" s="1"/>
      <c r="C65" s="7">
        <f t="shared" si="23"/>
        <v>100</v>
      </c>
      <c r="D65" s="305">
        <f>D58/D23</f>
        <v>0.48647890878044497</v>
      </c>
      <c r="E65" s="306">
        <f t="shared" ref="E65:I65" si="29">E58/E23</f>
        <v>0.43060196939888817</v>
      </c>
      <c r="F65" s="307">
        <f t="shared" si="29"/>
        <v>0.2676116928973053</v>
      </c>
      <c r="G65" s="308">
        <f t="shared" si="29"/>
        <v>0.18307639601519238</v>
      </c>
      <c r="H65" s="307">
        <f t="shared" si="29"/>
        <v>0.15641726527541663</v>
      </c>
      <c r="I65" s="309">
        <f t="shared" si="29"/>
        <v>0.12527836090691433</v>
      </c>
    </row>
    <row r="66" spans="1:9" ht="22" thickBot="1" x14ac:dyDescent="0.3">
      <c r="A66" s="1"/>
      <c r="B66" s="1"/>
      <c r="C66" s="1"/>
      <c r="D66" s="1"/>
      <c r="E66" s="241"/>
      <c r="F66" s="1"/>
      <c r="G66" s="242"/>
      <c r="H66" s="1"/>
      <c r="I66" s="72"/>
    </row>
    <row r="67" spans="1:9" ht="21" x14ac:dyDescent="0.25">
      <c r="A67" s="1"/>
      <c r="B67" s="1" t="s">
        <v>135</v>
      </c>
      <c r="C67" s="7">
        <f t="shared" ref="C67:C72" si="30">C60</f>
        <v>0</v>
      </c>
      <c r="D67" s="252">
        <f>D39*D39*D25</f>
        <v>0</v>
      </c>
      <c r="E67" s="253">
        <f t="shared" ref="E67:I67" si="31">E39*E39*E25</f>
        <v>0</v>
      </c>
      <c r="F67" s="254">
        <f t="shared" si="31"/>
        <v>0</v>
      </c>
      <c r="G67" s="255">
        <f t="shared" si="31"/>
        <v>0</v>
      </c>
      <c r="H67" s="254">
        <f t="shared" si="31"/>
        <v>0</v>
      </c>
      <c r="I67" s="256">
        <f t="shared" si="31"/>
        <v>0</v>
      </c>
    </row>
    <row r="68" spans="1:9" ht="21" x14ac:dyDescent="0.25">
      <c r="A68" s="1"/>
      <c r="B68" s="1"/>
      <c r="C68" s="7">
        <f t="shared" si="30"/>
        <v>6.25</v>
      </c>
      <c r="D68" s="257">
        <f t="shared" ref="D68:I68" si="32">D40*D40*D26</f>
        <v>1.7777984496675816</v>
      </c>
      <c r="E68" s="258">
        <f t="shared" si="32"/>
        <v>2.1629168439129893</v>
      </c>
      <c r="F68" s="6">
        <f t="shared" si="32"/>
        <v>3.8622386548519572</v>
      </c>
      <c r="G68" s="259">
        <f t="shared" si="32"/>
        <v>5.3481261107138547</v>
      </c>
      <c r="H68" s="6">
        <f t="shared" si="32"/>
        <v>5.9557030673747846</v>
      </c>
      <c r="I68" s="260">
        <f t="shared" si="32"/>
        <v>6.7609281038996745</v>
      </c>
    </row>
    <row r="69" spans="1:9" ht="21" x14ac:dyDescent="0.25">
      <c r="A69" s="1"/>
      <c r="B69" s="1"/>
      <c r="C69" s="7">
        <f t="shared" si="30"/>
        <v>12.5</v>
      </c>
      <c r="D69" s="257">
        <f t="shared" ref="D69:I69" si="33">D41*D41*D27</f>
        <v>3.1331592137452122</v>
      </c>
      <c r="E69" s="258">
        <f t="shared" si="33"/>
        <v>3.7257718711074865</v>
      </c>
      <c r="F69" s="6">
        <f t="shared" si="33"/>
        <v>5.9738841967292968</v>
      </c>
      <c r="G69" s="259">
        <f t="shared" si="33"/>
        <v>7.432148523165659</v>
      </c>
      <c r="H69" s="6">
        <f t="shared" si="33"/>
        <v>7.8780088012757217</v>
      </c>
      <c r="I69" s="260">
        <f t="shared" si="33"/>
        <v>8.3084078686313863</v>
      </c>
    </row>
    <row r="70" spans="1:9" ht="21" x14ac:dyDescent="0.25">
      <c r="A70" s="1"/>
      <c r="B70" s="1"/>
      <c r="C70" s="7">
        <f t="shared" si="30"/>
        <v>25</v>
      </c>
      <c r="D70" s="257">
        <f t="shared" ref="D70:I70" si="34">D42*D42*D28</f>
        <v>5.0829882018942687</v>
      </c>
      <c r="E70" s="258">
        <f t="shared" si="34"/>
        <v>5.8156525160085497</v>
      </c>
      <c r="F70" s="6">
        <f t="shared" si="34"/>
        <v>7.8898556802588162</v>
      </c>
      <c r="G70" s="259">
        <f t="shared" si="34"/>
        <v>8.4852334333759512</v>
      </c>
      <c r="H70" s="6">
        <f t="shared" si="34"/>
        <v>8.4594834789296343</v>
      </c>
      <c r="I70" s="260">
        <f t="shared" si="34"/>
        <v>8.1906123316363058</v>
      </c>
    </row>
    <row r="71" spans="1:9" ht="21" x14ac:dyDescent="0.25">
      <c r="A71" s="1"/>
      <c r="B71" s="1"/>
      <c r="C71" s="7">
        <f t="shared" si="30"/>
        <v>50</v>
      </c>
      <c r="D71" s="257">
        <f t="shared" ref="D71:I71" si="35">D43*D43*D29</f>
        <v>7.2088006926176522</v>
      </c>
      <c r="E71" s="258">
        <f t="shared" si="35"/>
        <v>7.7837424875653953</v>
      </c>
      <c r="F71" s="6">
        <f t="shared" si="35"/>
        <v>8.4564107833431912</v>
      </c>
      <c r="G71" s="259">
        <f t="shared" si="35"/>
        <v>7.729078259625827</v>
      </c>
      <c r="H71" s="6">
        <f t="shared" si="35"/>
        <v>7.2462314736626308</v>
      </c>
      <c r="I71" s="260">
        <f t="shared" si="35"/>
        <v>6.4779819734181707</v>
      </c>
    </row>
    <row r="72" spans="1:9" ht="22" thickBot="1" x14ac:dyDescent="0.3">
      <c r="A72" s="1"/>
      <c r="B72" s="1"/>
      <c r="C72" s="7">
        <f t="shared" si="30"/>
        <v>100</v>
      </c>
      <c r="D72" s="261">
        <f t="shared" ref="D72:I72" si="36">D44*D44*D30</f>
        <v>8.4493555729330811</v>
      </c>
      <c r="E72" s="262">
        <f t="shared" si="36"/>
        <v>8.4786594388603405</v>
      </c>
      <c r="F72" s="263">
        <f t="shared" si="36"/>
        <v>7.230479564156914</v>
      </c>
      <c r="G72" s="264">
        <f t="shared" si="36"/>
        <v>5.7098034866547547</v>
      </c>
      <c r="H72" s="263">
        <f t="shared" si="36"/>
        <v>5.09342319931043</v>
      </c>
      <c r="I72" s="265">
        <f t="shared" si="36"/>
        <v>4.285668192937151</v>
      </c>
    </row>
  </sheetData>
  <dataValidations count="1">
    <dataValidation type="list" allowBlank="1" showInputMessage="1" showErrorMessage="1" sqref="D5:I5" xr:uid="{A292741B-BCC2-034E-BF23-1BE5F213125D}">
      <formula1>twinlead_choices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39"/>
  <sheetViews>
    <sheetView workbookViewId="0">
      <selection activeCell="C23" sqref="C23"/>
    </sheetView>
  </sheetViews>
  <sheetFormatPr baseColWidth="10" defaultColWidth="14.83203125" defaultRowHeight="21" customHeight="1" x14ac:dyDescent="0.25"/>
  <cols>
    <col min="1" max="1" width="4" style="1" customWidth="1"/>
    <col min="2" max="16384" width="14.83203125" style="1"/>
  </cols>
  <sheetData>
    <row r="2" spans="2:13" ht="21" customHeight="1" x14ac:dyDescent="0.25">
      <c r="B2" s="227" t="s">
        <v>155</v>
      </c>
    </row>
    <row r="4" spans="2:13" ht="21" customHeight="1" x14ac:dyDescent="0.25">
      <c r="B4" s="314" t="s">
        <v>156</v>
      </c>
      <c r="C4" s="314"/>
      <c r="D4" s="314"/>
      <c r="F4" s="315" t="s">
        <v>157</v>
      </c>
      <c r="G4" s="315"/>
      <c r="H4" s="315"/>
      <c r="J4" s="316" t="s">
        <v>158</v>
      </c>
      <c r="K4" s="316"/>
      <c r="L4" s="316"/>
      <c r="M4" s="316"/>
    </row>
    <row r="5" spans="2:13" ht="22" customHeight="1" thickBot="1" x14ac:dyDescent="0.3"/>
    <row r="6" spans="2:13" ht="22" customHeight="1" thickBot="1" x14ac:dyDescent="0.3">
      <c r="B6" s="1" t="s">
        <v>159</v>
      </c>
      <c r="C6" s="317">
        <v>6</v>
      </c>
      <c r="F6" s="1" t="s">
        <v>159</v>
      </c>
      <c r="G6" s="318">
        <v>6</v>
      </c>
      <c r="J6" s="1" t="s">
        <v>160</v>
      </c>
      <c r="K6" s="2">
        <f>C20</f>
        <v>0.47817128924108498</v>
      </c>
    </row>
    <row r="7" spans="2:13" ht="22" customHeight="1" thickBot="1" x14ac:dyDescent="0.3">
      <c r="B7" s="1" t="s">
        <v>161</v>
      </c>
      <c r="C7" s="319">
        <v>20</v>
      </c>
      <c r="F7" s="1" t="s">
        <v>162</v>
      </c>
      <c r="G7" s="1">
        <f>G6*2</f>
        <v>12</v>
      </c>
      <c r="J7" s="1" t="s">
        <v>99</v>
      </c>
      <c r="K7" s="320">
        <v>13.8</v>
      </c>
    </row>
    <row r="8" spans="2:13" ht="22" customHeight="1" thickBot="1" x14ac:dyDescent="0.3">
      <c r="B8" s="1" t="s">
        <v>99</v>
      </c>
      <c r="C8" s="320">
        <v>6</v>
      </c>
      <c r="F8" s="1" t="s">
        <v>163</v>
      </c>
      <c r="G8" s="2">
        <f>C14*G7</f>
        <v>0.12182871075891497</v>
      </c>
      <c r="J8" s="1" t="s">
        <v>161</v>
      </c>
      <c r="K8" s="319">
        <v>10</v>
      </c>
    </row>
    <row r="9" spans="2:13" ht="22" customHeight="1" thickBot="1" x14ac:dyDescent="0.3">
      <c r="B9" s="1" t="s">
        <v>101</v>
      </c>
      <c r="C9" s="321">
        <v>10</v>
      </c>
      <c r="J9" s="1" t="s">
        <v>159</v>
      </c>
      <c r="K9" s="318">
        <v>6</v>
      </c>
    </row>
    <row r="10" spans="2:13" ht="21" customHeight="1" x14ac:dyDescent="0.25">
      <c r="F10" s="1" t="s">
        <v>164</v>
      </c>
      <c r="G10" s="2">
        <f>C20+G8</f>
        <v>0.6</v>
      </c>
    </row>
    <row r="11" spans="2:13" ht="21" customHeight="1" x14ac:dyDescent="0.25">
      <c r="B11" s="1" t="s">
        <v>104</v>
      </c>
      <c r="C11" s="6">
        <f>C8*C9</f>
        <v>60</v>
      </c>
      <c r="F11" s="1" t="s">
        <v>101</v>
      </c>
      <c r="G11" s="287">
        <f>C8/G10</f>
        <v>10</v>
      </c>
      <c r="J11" s="1" t="s">
        <v>162</v>
      </c>
      <c r="K11" s="1">
        <f>K9*2</f>
        <v>12</v>
      </c>
    </row>
    <row r="12" spans="2:13" ht="21" customHeight="1" x14ac:dyDescent="0.25">
      <c r="B12" s="1" t="s">
        <v>164</v>
      </c>
      <c r="C12" s="2">
        <f>C8/C9</f>
        <v>0.6</v>
      </c>
      <c r="F12" s="1" t="s">
        <v>104</v>
      </c>
      <c r="G12" s="6">
        <f>G11*G11*G10</f>
        <v>60</v>
      </c>
      <c r="J12" s="1" t="s">
        <v>165</v>
      </c>
      <c r="K12" s="2">
        <f>VLOOKUP(K8,copper_wire_table,4,FALSE)</f>
        <v>9.9859555013715341E-4</v>
      </c>
    </row>
    <row r="13" spans="2:13" ht="21" customHeight="1" x14ac:dyDescent="0.25">
      <c r="J13" s="1" t="s">
        <v>163</v>
      </c>
      <c r="K13" s="2">
        <f>K12*K11</f>
        <v>1.1983146601645841E-2</v>
      </c>
    </row>
    <row r="14" spans="2:13" ht="21" customHeight="1" x14ac:dyDescent="0.25">
      <c r="B14" s="1" t="s">
        <v>165</v>
      </c>
      <c r="C14" s="2">
        <f>VLOOKUP(C7,copper_wire_table,4,FALSE)</f>
        <v>1.0152392563242914E-2</v>
      </c>
      <c r="F14" s="1" t="s">
        <v>166</v>
      </c>
      <c r="G14" s="5">
        <f>G11*G8</f>
        <v>1.2182871075891497</v>
      </c>
    </row>
    <row r="15" spans="2:13" ht="21" customHeight="1" x14ac:dyDescent="0.25">
      <c r="B15" s="1" t="s">
        <v>162</v>
      </c>
      <c r="C15" s="1">
        <f>C6*2</f>
        <v>12</v>
      </c>
      <c r="F15" s="1" t="s">
        <v>167</v>
      </c>
      <c r="G15" s="6">
        <f>G14*G11</f>
        <v>12.182871075891498</v>
      </c>
      <c r="J15" s="1" t="s">
        <v>164</v>
      </c>
      <c r="K15" s="2">
        <f>K13+K6</f>
        <v>0.49015443584273083</v>
      </c>
    </row>
    <row r="16" spans="2:13" ht="21" customHeight="1" x14ac:dyDescent="0.25">
      <c r="B16" s="1" t="s">
        <v>163</v>
      </c>
      <c r="C16" s="2">
        <f>C14*C15</f>
        <v>0.12182871075891497</v>
      </c>
      <c r="J16" s="1" t="s">
        <v>101</v>
      </c>
      <c r="K16" s="5">
        <f>K7/K15</f>
        <v>28.154391740377555</v>
      </c>
    </row>
    <row r="17" spans="2:11" ht="21" customHeight="1" x14ac:dyDescent="0.25">
      <c r="B17" s="1" t="s">
        <v>166</v>
      </c>
      <c r="C17" s="4">
        <f>C9*C16</f>
        <v>1.2182871075891497</v>
      </c>
      <c r="F17" s="1" t="s">
        <v>168</v>
      </c>
      <c r="G17" s="5">
        <f>G11*C20</f>
        <v>4.7817128924108498</v>
      </c>
      <c r="J17" s="1" t="s">
        <v>104</v>
      </c>
      <c r="K17" s="6">
        <f>K16*K16*K15</f>
        <v>388.53060601721029</v>
      </c>
    </row>
    <row r="18" spans="2:11" ht="21" customHeight="1" x14ac:dyDescent="0.25">
      <c r="B18" s="1" t="s">
        <v>167</v>
      </c>
      <c r="C18" s="6">
        <f>C17*C9</f>
        <v>12.182871075891498</v>
      </c>
      <c r="F18" s="1" t="s">
        <v>169</v>
      </c>
      <c r="G18" s="322">
        <f>G11*G17</f>
        <v>47.817128924108502</v>
      </c>
    </row>
    <row r="19" spans="2:11" ht="21" customHeight="1" x14ac:dyDescent="0.25">
      <c r="F19" s="1" t="s">
        <v>170</v>
      </c>
      <c r="G19" s="302">
        <f>G18/G12</f>
        <v>0.79695214873514175</v>
      </c>
      <c r="J19" s="1" t="s">
        <v>166</v>
      </c>
      <c r="K19" s="5">
        <f>K16*K13</f>
        <v>0.33737820370511101</v>
      </c>
    </row>
    <row r="20" spans="2:11" ht="21" customHeight="1" x14ac:dyDescent="0.25">
      <c r="B20" s="1" t="s">
        <v>160</v>
      </c>
      <c r="C20" s="2">
        <f>C12-C16</f>
        <v>0.47817128924108498</v>
      </c>
      <c r="F20" s="1" t="s">
        <v>171</v>
      </c>
      <c r="G20" s="302">
        <f>G18/C22-1</f>
        <v>0</v>
      </c>
      <c r="J20" s="1" t="s">
        <v>167</v>
      </c>
      <c r="K20" s="6">
        <f>K16*K19</f>
        <v>9.4986781117785934</v>
      </c>
    </row>
    <row r="21" spans="2:11" ht="21" customHeight="1" x14ac:dyDescent="0.25">
      <c r="B21" s="1" t="s">
        <v>168</v>
      </c>
      <c r="C21" s="5">
        <f>C9*C20</f>
        <v>4.7817128924108498</v>
      </c>
    </row>
    <row r="22" spans="2:11" ht="21" customHeight="1" x14ac:dyDescent="0.25">
      <c r="B22" s="1" t="s">
        <v>169</v>
      </c>
      <c r="C22" s="322">
        <f>C9*C21</f>
        <v>47.817128924108502</v>
      </c>
      <c r="J22" s="1" t="s">
        <v>168</v>
      </c>
      <c r="K22" s="5">
        <f>K6*K16</f>
        <v>13.46262179629489</v>
      </c>
    </row>
    <row r="23" spans="2:11" ht="21" customHeight="1" x14ac:dyDescent="0.25">
      <c r="B23" s="1" t="s">
        <v>170</v>
      </c>
      <c r="C23" s="302">
        <f>C22/C11</f>
        <v>0.79695214873514175</v>
      </c>
      <c r="F23" s="315" t="s">
        <v>172</v>
      </c>
      <c r="G23" s="315"/>
      <c r="H23" s="315"/>
      <c r="J23" s="1" t="s">
        <v>169</v>
      </c>
      <c r="K23" s="322">
        <f>K16*K22</f>
        <v>379.0319279054317</v>
      </c>
    </row>
    <row r="24" spans="2:11" ht="22" customHeight="1" thickBot="1" x14ac:dyDescent="0.3">
      <c r="J24" s="1" t="s">
        <v>170</v>
      </c>
      <c r="K24" s="302">
        <f>K23/K17</f>
        <v>0.97555230407933979</v>
      </c>
    </row>
    <row r="25" spans="2:11" ht="22" customHeight="1" thickBot="1" x14ac:dyDescent="0.3">
      <c r="F25" s="1" t="s">
        <v>161</v>
      </c>
      <c r="G25" s="319">
        <v>16</v>
      </c>
      <c r="J25" s="1" t="s">
        <v>171</v>
      </c>
      <c r="K25" s="302">
        <f>K23/C22-1</f>
        <v>6.9266977427063985</v>
      </c>
    </row>
    <row r="26" spans="2:11" ht="21" customHeight="1" x14ac:dyDescent="0.25">
      <c r="B26" s="315" t="s">
        <v>173</v>
      </c>
      <c r="C26" s="315"/>
      <c r="D26" s="315"/>
      <c r="F26" s="1" t="s">
        <v>165</v>
      </c>
      <c r="G26" s="2">
        <f>VLOOKUP(G25,copper_wire_table,4,FALSE)</f>
        <v>4.0147759829320326E-3</v>
      </c>
    </row>
    <row r="27" spans="2:11" ht="22" customHeight="1" thickBot="1" x14ac:dyDescent="0.3">
      <c r="F27" s="1" t="s">
        <v>163</v>
      </c>
      <c r="G27" s="2">
        <f>C15*G26</f>
        <v>4.8177311795184391E-2</v>
      </c>
    </row>
    <row r="28" spans="2:11" ht="22" customHeight="1" thickBot="1" x14ac:dyDescent="0.3">
      <c r="B28" s="1" t="s">
        <v>99</v>
      </c>
      <c r="C28" s="320">
        <v>13.8</v>
      </c>
    </row>
    <row r="29" spans="2:11" ht="21" customHeight="1" x14ac:dyDescent="0.25">
      <c r="B29" s="1" t="s">
        <v>101</v>
      </c>
      <c r="C29" s="287">
        <f>C28/C12</f>
        <v>23.000000000000004</v>
      </c>
      <c r="F29" s="1" t="s">
        <v>164</v>
      </c>
      <c r="G29" s="2">
        <f>G27+C20</f>
        <v>0.52634860103626935</v>
      </c>
    </row>
    <row r="30" spans="2:11" ht="21" customHeight="1" x14ac:dyDescent="0.25">
      <c r="B30" s="1" t="s">
        <v>104</v>
      </c>
      <c r="C30" s="6">
        <f>C28*C29</f>
        <v>317.40000000000009</v>
      </c>
      <c r="F30" s="1" t="s">
        <v>101</v>
      </c>
      <c r="G30" s="5">
        <f>C8/G29</f>
        <v>11.399289345857984</v>
      </c>
    </row>
    <row r="31" spans="2:11" ht="21" customHeight="1" x14ac:dyDescent="0.25">
      <c r="F31" s="1" t="s">
        <v>104</v>
      </c>
      <c r="G31" s="6">
        <f>G30*G30*G29</f>
        <v>68.395736075147909</v>
      </c>
    </row>
    <row r="32" spans="2:11" ht="21" customHeight="1" x14ac:dyDescent="0.25">
      <c r="B32" s="1" t="s">
        <v>166</v>
      </c>
      <c r="C32" s="5">
        <f>C29*C16</f>
        <v>2.8020603474550447</v>
      </c>
    </row>
    <row r="33" spans="2:7" ht="21" customHeight="1" x14ac:dyDescent="0.25">
      <c r="B33" s="1" t="s">
        <v>167</v>
      </c>
      <c r="C33" s="6">
        <f>C29*C32</f>
        <v>64.447387991466044</v>
      </c>
      <c r="F33" s="1" t="s">
        <v>166</v>
      </c>
      <c r="G33" s="5">
        <f>G30*G27</f>
        <v>0.54918711705892365</v>
      </c>
    </row>
    <row r="34" spans="2:7" ht="21" customHeight="1" x14ac:dyDescent="0.25">
      <c r="F34" s="1" t="s">
        <v>167</v>
      </c>
      <c r="G34" s="6">
        <f>G30*G33</f>
        <v>6.2603428523722497</v>
      </c>
    </row>
    <row r="35" spans="2:7" ht="21" customHeight="1" x14ac:dyDescent="0.25">
      <c r="B35" s="1" t="s">
        <v>168</v>
      </c>
      <c r="C35" s="5">
        <f>C29*C20</f>
        <v>10.997939652544956</v>
      </c>
    </row>
    <row r="36" spans="2:7" ht="21" customHeight="1" x14ac:dyDescent="0.25">
      <c r="B36" s="1" t="s">
        <v>169</v>
      </c>
      <c r="C36" s="322">
        <f>C29*C35</f>
        <v>252.952612008534</v>
      </c>
      <c r="F36" s="1" t="s">
        <v>168</v>
      </c>
      <c r="G36" s="5">
        <f>C20*G30</f>
        <v>5.4508128829410767</v>
      </c>
    </row>
    <row r="37" spans="2:7" ht="21" customHeight="1" x14ac:dyDescent="0.25">
      <c r="B37" s="1" t="s">
        <v>170</v>
      </c>
      <c r="C37" s="302">
        <f>C36/C30</f>
        <v>0.79695214873514153</v>
      </c>
      <c r="F37" s="1" t="s">
        <v>169</v>
      </c>
      <c r="G37" s="322">
        <f>G30*G36</f>
        <v>62.135393222775654</v>
      </c>
    </row>
    <row r="38" spans="2:7" ht="21" customHeight="1" x14ac:dyDescent="0.25">
      <c r="B38" s="1" t="s">
        <v>171</v>
      </c>
      <c r="C38" s="302">
        <f>C36/C22-1</f>
        <v>4.2900000000000009</v>
      </c>
      <c r="F38" s="1" t="s">
        <v>170</v>
      </c>
      <c r="G38" s="302">
        <f>G37/G31</f>
        <v>0.90846881382351263</v>
      </c>
    </row>
    <row r="39" spans="2:7" ht="21" customHeight="1" x14ac:dyDescent="0.25">
      <c r="F39" s="1" t="s">
        <v>171</v>
      </c>
      <c r="G39" s="302">
        <f>G37/C22-1</f>
        <v>0.29943797590591337</v>
      </c>
    </row>
  </sheetData>
  <dataValidations disablePrompts="1" count="1">
    <dataValidation type="list" allowBlank="1" showInputMessage="1" showErrorMessage="1" sqref="C7 G25 K8" xr:uid="{00000000-0002-0000-0600-000000000000}">
      <formula1>copper_wire_choices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66</vt:i4>
      </vt:variant>
    </vt:vector>
  </HeadingPairs>
  <TitlesOfParts>
    <vt:vector size="82" baseType="lpstr">
      <vt:lpstr>wire specs</vt:lpstr>
      <vt:lpstr>wire testing</vt:lpstr>
      <vt:lpstr>solar dist</vt:lpstr>
      <vt:lpstr>charge dist</vt:lpstr>
      <vt:lpstr>charging (dist lines)</vt:lpstr>
      <vt:lpstr>charging (gauge)</vt:lpstr>
      <vt:lpstr>charging (length)</vt:lpstr>
      <vt:lpstr>charging (res)</vt:lpstr>
      <vt:lpstr>predictions</vt:lpstr>
      <vt:lpstr>CU vs CCA</vt:lpstr>
      <vt:lpstr>adaptive loads</vt:lpstr>
      <vt:lpstr>comparisons</vt:lpstr>
      <vt:lpstr>spool weights</vt:lpstr>
      <vt:lpstr>panels</vt:lpstr>
      <vt:lpstr>tables</vt:lpstr>
      <vt:lpstr>drops</vt:lpstr>
      <vt:lpstr>ampacity</vt:lpstr>
      <vt:lpstr>cdl_volts</vt:lpstr>
      <vt:lpstr>cg_ohmsperfoot</vt:lpstr>
      <vt:lpstr>cg_volts</vt:lpstr>
      <vt:lpstr>combiner_choices</vt:lpstr>
      <vt:lpstr>comp_cd_volts</vt:lpstr>
      <vt:lpstr>comp_cd_watts</vt:lpstr>
      <vt:lpstr>comp_cs_volts</vt:lpstr>
      <vt:lpstr>comp_cs_watts</vt:lpstr>
      <vt:lpstr>comp_pr_ohms</vt:lpstr>
      <vt:lpstr>comp_pr_volts</vt:lpstr>
      <vt:lpstr>copper_kg_per_cu_meter</vt:lpstr>
      <vt:lpstr>copper_wire_choices</vt:lpstr>
      <vt:lpstr>copper_wire_table</vt:lpstr>
      <vt:lpstr>cost_4fths</vt:lpstr>
      <vt:lpstr>cost_ft10ccu</vt:lpstr>
      <vt:lpstr>cost_pp30</vt:lpstr>
      <vt:lpstr>cost_pp30whs</vt:lpstr>
      <vt:lpstr>cost_pphs</vt:lpstr>
      <vt:lpstr>cost_reel</vt:lpstr>
      <vt:lpstr>cost_reelwadapt</vt:lpstr>
      <vt:lpstr>cost_sb50</vt:lpstr>
      <vt:lpstr>cost_sb50ends</vt:lpstr>
      <vt:lpstr>cost_sb50pp30</vt:lpstr>
      <vt:lpstr>cost_sbpp</vt:lpstr>
      <vt:lpstr>cost_shrink</vt:lpstr>
      <vt:lpstr>cr_amps</vt:lpstr>
      <vt:lpstr>cr_bconst</vt:lpstr>
      <vt:lpstr>cr_bconst2</vt:lpstr>
      <vt:lpstr>cr_vf</vt:lpstr>
      <vt:lpstr>cr_volts</vt:lpstr>
      <vt:lpstr>cubicmm_per_cubic_meter</vt:lpstr>
      <vt:lpstr>distline_choices</vt:lpstr>
      <vt:lpstr>distline_table</vt:lpstr>
      <vt:lpstr>ft_per_km</vt:lpstr>
      <vt:lpstr>lbs_per_kg</vt:lpstr>
      <vt:lpstr>load_amps</vt:lpstr>
      <vt:lpstr>load_ohms</vt:lpstr>
      <vt:lpstr>load_watts</vt:lpstr>
      <vt:lpstr>mm_per_foot</vt:lpstr>
      <vt:lpstr>mm_per_in</vt:lpstr>
      <vt:lpstr>panel_choices</vt:lpstr>
      <vt:lpstr>panel_Impp</vt:lpstr>
      <vt:lpstr>panel_Rmpp</vt:lpstr>
      <vt:lpstr>panel_selection</vt:lpstr>
      <vt:lpstr>panel_table</vt:lpstr>
      <vt:lpstr>panel_Vmpp</vt:lpstr>
      <vt:lpstr>panel_Voc</vt:lpstr>
      <vt:lpstr>panel_Wmax</vt:lpstr>
      <vt:lpstr>panel_Wmpp</vt:lpstr>
      <vt:lpstr>picked_key</vt:lpstr>
      <vt:lpstr>picked_panels</vt:lpstr>
      <vt:lpstr>picked_parallel</vt:lpstr>
      <vt:lpstr>picked_series</vt:lpstr>
      <vt:lpstr>short_amps</vt:lpstr>
      <vt:lpstr>short_feet</vt:lpstr>
      <vt:lpstr>short_ohms</vt:lpstr>
      <vt:lpstr>short_volts</vt:lpstr>
      <vt:lpstr>short_watts</vt:lpstr>
      <vt:lpstr>supply_volts</vt:lpstr>
      <vt:lpstr>tencross</vt:lpstr>
      <vt:lpstr>tencu1k</vt:lpstr>
      <vt:lpstr>twin_feet</vt:lpstr>
      <vt:lpstr>twinlead_choices</vt:lpstr>
      <vt:lpstr>twinlead_table</vt:lpstr>
      <vt:lpstr>wire_feet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2022-12-16T15:02:04Z</dcterms:created>
  <dcterms:modified xsi:type="dcterms:W3CDTF">2025-09-25T13:25:26Z</dcterms:modified>
</cp:coreProperties>
</file>