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0"/>
  <workbookPr/>
  <mc:AlternateContent xmlns:mc="http://schemas.openxmlformats.org/markup-compatibility/2006">
    <mc:Choice Requires="x15">
      <x15ac:absPath xmlns:x15ac="http://schemas.microsoft.com/office/spreadsheetml/2010/11/ac" url="/Users/virtual1/Documents/ My Documents/Hobbies/numismatics (coin and bill collecting/"/>
    </mc:Choice>
  </mc:AlternateContent>
  <xr:revisionPtr revIDLastSave="0" documentId="13_ncr:1_{2A8352F1-FD23-4C41-80B9-710980D198D1}" xr6:coauthVersionLast="36" xr6:coauthVersionMax="36" xr10:uidLastSave="{00000000-0000-0000-0000-000000000000}"/>
  <bookViews>
    <workbookView xWindow="240" yWindow="1380" windowWidth="50400" windowHeight="24660" tabRatio="500" xr2:uid="{00000000-000D-0000-FFFF-FFFF00000000}"/>
  </bookViews>
  <sheets>
    <sheet name="Coins" sheetId="1" r:id="rId1"/>
    <sheet name="constants" sheetId="2" r:id="rId2"/>
  </sheets>
  <definedNames>
    <definedName name="BrassWeight">constants!$F$14</definedName>
    <definedName name="Compositions">constants!$B$6:$B$28</definedName>
    <definedName name="CopperWeight">constants!$F$18</definedName>
    <definedName name="GoldWeight">constants!$F$26</definedName>
    <definedName name="GramsPerGrain">constants!$B$40</definedName>
    <definedName name="GramsPerOz">constants!$B$39</definedName>
    <definedName name="GramsPerPound">constants!$B$38</definedName>
    <definedName name="GramsPerTroyOz">constants!$B$37</definedName>
    <definedName name="IronWeight">constants!$F$11</definedName>
    <definedName name="LeadWeight">constants!$F$23</definedName>
    <definedName name="ManganeseWeight">constants!$F$10</definedName>
    <definedName name="Metals">constants!$B$6:$H$34</definedName>
    <definedName name="NickelWeight">constants!$F$16</definedName>
    <definedName name="PlatinumWeight">constants!$F$28</definedName>
    <definedName name="SilverWeight">constants!$F$22</definedName>
    <definedName name="TinWeight">constants!$F$9</definedName>
    <definedName name="TungstenWeight">constants!$F$27</definedName>
  </definedNames>
  <calcPr calcId="181029" calcOnSave="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F20" i="2" l="1"/>
  <c r="F21" i="2"/>
  <c r="C22" i="2"/>
  <c r="F22" i="2"/>
  <c r="C23" i="2"/>
  <c r="F23" i="2"/>
  <c r="F24" i="2"/>
  <c r="F27" i="2"/>
  <c r="C28" i="2"/>
  <c r="F28" i="2"/>
  <c r="F29" i="2"/>
  <c r="AG37" i="1"/>
  <c r="Y49" i="1"/>
  <c r="Z49" i="1"/>
  <c r="AJ49" i="1"/>
  <c r="Y48" i="1"/>
  <c r="Z48" i="1"/>
  <c r="AJ48" i="1"/>
  <c r="Y47" i="1"/>
  <c r="Z47" i="1"/>
  <c r="AJ47" i="1"/>
  <c r="Y46" i="1"/>
  <c r="Z46" i="1"/>
  <c r="AJ46" i="1"/>
  <c r="Y45" i="1"/>
  <c r="Z45" i="1"/>
  <c r="AJ45" i="1"/>
  <c r="Y44" i="1"/>
  <c r="Z44" i="1"/>
  <c r="AJ44" i="1"/>
  <c r="Y43" i="1"/>
  <c r="Z43" i="1"/>
  <c r="AJ43" i="1"/>
  <c r="Y42" i="1"/>
  <c r="Z42" i="1"/>
  <c r="AJ42" i="1"/>
  <c r="F15" i="2"/>
  <c r="Y41" i="1"/>
  <c r="Z41" i="1"/>
  <c r="AC41" i="1"/>
  <c r="AJ41" i="1"/>
  <c r="Y40" i="1"/>
  <c r="Z40" i="1"/>
  <c r="AJ40" i="1"/>
  <c r="Y39" i="1"/>
  <c r="Z39" i="1"/>
  <c r="AJ39" i="1"/>
  <c r="Y38" i="1"/>
  <c r="Z38" i="1"/>
  <c r="AJ38" i="1"/>
  <c r="Y37" i="1"/>
  <c r="Z37" i="1"/>
  <c r="AJ37" i="1"/>
  <c r="F19" i="2"/>
  <c r="Y36" i="1"/>
  <c r="Z36" i="1"/>
  <c r="AJ36" i="1"/>
  <c r="Y34" i="1"/>
  <c r="Z34" i="1"/>
  <c r="AJ34" i="1"/>
  <c r="Y33" i="1"/>
  <c r="Z33" i="1"/>
  <c r="AJ33" i="1"/>
  <c r="Y32" i="1"/>
  <c r="Z32" i="1"/>
  <c r="AJ32" i="1"/>
  <c r="Y31" i="1"/>
  <c r="Z31" i="1"/>
  <c r="AJ31" i="1"/>
  <c r="Y30" i="1"/>
  <c r="Z30" i="1"/>
  <c r="AJ30" i="1"/>
  <c r="Y29" i="1"/>
  <c r="Z29" i="1"/>
  <c r="AJ29" i="1"/>
  <c r="Y28" i="1"/>
  <c r="Z28" i="1"/>
  <c r="AJ28" i="1"/>
  <c r="Y27" i="1"/>
  <c r="Z27" i="1"/>
  <c r="AJ27" i="1"/>
  <c r="Y26" i="1"/>
  <c r="Z26" i="1"/>
  <c r="AJ26" i="1"/>
  <c r="Y25" i="1"/>
  <c r="Z25" i="1"/>
  <c r="AJ25" i="1"/>
  <c r="F17" i="2"/>
  <c r="Y24" i="1"/>
  <c r="Z24" i="1"/>
  <c r="AJ24" i="1"/>
  <c r="Y23" i="1"/>
  <c r="Z23" i="1"/>
  <c r="AJ23" i="1"/>
  <c r="Y22" i="1"/>
  <c r="Z22" i="1"/>
  <c r="AJ22" i="1"/>
  <c r="F14" i="2"/>
  <c r="Y21" i="1"/>
  <c r="Z21" i="1"/>
  <c r="AJ21" i="1"/>
  <c r="Y20" i="1"/>
  <c r="Z20" i="1"/>
  <c r="AJ20" i="1"/>
  <c r="Y19" i="1"/>
  <c r="Z19" i="1"/>
  <c r="AJ19" i="1"/>
  <c r="Y18" i="1"/>
  <c r="Z18" i="1"/>
  <c r="AJ18" i="1"/>
  <c r="Y17" i="1"/>
  <c r="Z17" i="1"/>
  <c r="AJ17" i="1"/>
  <c r="Y16" i="1"/>
  <c r="Z16" i="1"/>
  <c r="AJ16" i="1"/>
  <c r="Y15" i="1"/>
  <c r="Z15" i="1"/>
  <c r="AJ15" i="1"/>
  <c r="Y14" i="1"/>
  <c r="Z14" i="1"/>
  <c r="AJ14" i="1"/>
  <c r="Y13" i="1"/>
  <c r="Z13" i="1"/>
  <c r="AJ13" i="1"/>
  <c r="Y12" i="1"/>
  <c r="Z12" i="1"/>
  <c r="AJ12" i="1"/>
  <c r="Y11" i="1"/>
  <c r="Z11" i="1"/>
  <c r="AJ11" i="1"/>
  <c r="Y10" i="1"/>
  <c r="Z10" i="1"/>
  <c r="AJ10" i="1"/>
  <c r="Y9" i="1"/>
  <c r="Z9" i="1"/>
  <c r="AJ9" i="1"/>
  <c r="Y35" i="1"/>
  <c r="Z35" i="1"/>
  <c r="AJ35" i="1"/>
  <c r="AB35" i="1"/>
  <c r="AD35" i="1"/>
  <c r="AC35" i="1"/>
  <c r="AC49" i="1"/>
  <c r="AB49" i="1"/>
  <c r="AD49" i="1"/>
  <c r="AN49" i="1"/>
  <c r="AC48" i="1"/>
  <c r="AB48" i="1"/>
  <c r="AD48" i="1"/>
  <c r="AN48" i="1"/>
  <c r="AC47" i="1"/>
  <c r="AB47" i="1"/>
  <c r="AD47" i="1"/>
  <c r="AN47" i="1"/>
  <c r="AC46" i="1"/>
  <c r="AB46" i="1"/>
  <c r="AD46" i="1"/>
  <c r="AN46" i="1"/>
  <c r="AC45" i="1"/>
  <c r="AB45" i="1"/>
  <c r="AD45" i="1"/>
  <c r="AN45" i="1"/>
  <c r="AC44" i="1"/>
  <c r="AB44" i="1"/>
  <c r="AD44" i="1"/>
  <c r="AN44" i="1"/>
  <c r="AC43" i="1"/>
  <c r="AB43" i="1"/>
  <c r="AD43" i="1"/>
  <c r="AN43" i="1"/>
  <c r="AC42" i="1"/>
  <c r="AB42" i="1"/>
  <c r="AD42" i="1"/>
  <c r="AN42" i="1"/>
  <c r="AB41" i="1"/>
  <c r="AD41" i="1"/>
  <c r="AN41" i="1"/>
  <c r="AC40" i="1"/>
  <c r="AB40" i="1"/>
  <c r="AD40" i="1"/>
  <c r="AN40" i="1"/>
  <c r="AC39" i="1"/>
  <c r="AB39" i="1"/>
  <c r="AD39" i="1"/>
  <c r="AN39" i="1"/>
  <c r="AC38" i="1"/>
  <c r="AB38" i="1"/>
  <c r="AD38" i="1"/>
  <c r="AN38" i="1"/>
  <c r="AC37" i="1"/>
  <c r="AB37" i="1"/>
  <c r="AD37" i="1"/>
  <c r="AN37" i="1"/>
  <c r="AC36" i="1"/>
  <c r="AB36" i="1"/>
  <c r="AD36" i="1"/>
  <c r="AN36" i="1"/>
  <c r="AN35" i="1"/>
  <c r="AC34" i="1"/>
  <c r="AB34" i="1"/>
  <c r="AD34" i="1"/>
  <c r="AN34" i="1"/>
  <c r="AC33" i="1"/>
  <c r="AB33" i="1"/>
  <c r="AD33" i="1"/>
  <c r="AN33" i="1"/>
  <c r="AC32" i="1"/>
  <c r="AB32" i="1"/>
  <c r="AD32" i="1"/>
  <c r="AN32" i="1"/>
  <c r="AC31" i="1"/>
  <c r="AB31" i="1"/>
  <c r="AD31" i="1"/>
  <c r="AN31" i="1"/>
  <c r="AC30" i="1"/>
  <c r="AB30" i="1"/>
  <c r="AD30" i="1"/>
  <c r="AN30" i="1"/>
  <c r="AC29" i="1"/>
  <c r="AB29" i="1"/>
  <c r="AD29" i="1"/>
  <c r="AN29" i="1"/>
  <c r="AC28" i="1"/>
  <c r="AB28" i="1"/>
  <c r="AD28" i="1"/>
  <c r="AN28" i="1"/>
  <c r="AC27" i="1"/>
  <c r="AB27" i="1"/>
  <c r="AD27" i="1"/>
  <c r="AN27" i="1"/>
  <c r="AC26" i="1"/>
  <c r="AB26" i="1"/>
  <c r="AD26" i="1"/>
  <c r="AN26" i="1"/>
  <c r="AC25" i="1"/>
  <c r="AB25" i="1"/>
  <c r="AD25" i="1"/>
  <c r="AN25" i="1"/>
  <c r="AC24" i="1"/>
  <c r="AB24" i="1"/>
  <c r="AD24" i="1"/>
  <c r="AN24" i="1"/>
  <c r="AC23" i="1"/>
  <c r="AB23" i="1"/>
  <c r="AD23" i="1"/>
  <c r="AN23" i="1"/>
  <c r="AC22" i="1"/>
  <c r="AB22" i="1"/>
  <c r="AD22" i="1"/>
  <c r="AN22" i="1"/>
  <c r="AC21" i="1"/>
  <c r="AB21" i="1"/>
  <c r="AD21" i="1"/>
  <c r="AN21" i="1"/>
  <c r="AC20" i="1"/>
  <c r="AB20" i="1"/>
  <c r="AD20" i="1"/>
  <c r="AN20" i="1"/>
  <c r="AC19" i="1"/>
  <c r="AB19" i="1"/>
  <c r="AD19" i="1"/>
  <c r="AN19" i="1"/>
  <c r="AC18" i="1"/>
  <c r="AB18" i="1"/>
  <c r="AD18" i="1"/>
  <c r="AN18" i="1"/>
  <c r="AC17" i="1"/>
  <c r="AB17" i="1"/>
  <c r="AD17" i="1"/>
  <c r="AN17" i="1"/>
  <c r="AC16" i="1"/>
  <c r="AB16" i="1"/>
  <c r="AD16" i="1"/>
  <c r="AN16" i="1"/>
  <c r="AC15" i="1"/>
  <c r="AB15" i="1"/>
  <c r="AD15" i="1"/>
  <c r="AN15" i="1"/>
  <c r="AC14" i="1"/>
  <c r="AB14" i="1"/>
  <c r="AD14" i="1"/>
  <c r="AN14" i="1"/>
  <c r="AC13" i="1"/>
  <c r="AB13" i="1"/>
  <c r="AD13" i="1"/>
  <c r="AN13" i="1"/>
  <c r="AC12" i="1"/>
  <c r="AB12" i="1"/>
  <c r="AD12" i="1"/>
  <c r="AN12" i="1"/>
  <c r="AC11" i="1"/>
  <c r="AB11" i="1"/>
  <c r="AD11" i="1"/>
  <c r="AN11" i="1"/>
  <c r="AC10" i="1"/>
  <c r="AB10" i="1"/>
  <c r="AD10" i="1"/>
  <c r="AN10" i="1"/>
  <c r="AC9" i="1"/>
  <c r="AB9" i="1"/>
  <c r="AD9" i="1"/>
  <c r="AN9" i="1"/>
  <c r="AW9" i="1"/>
  <c r="AQ12" i="1"/>
  <c r="AO49" i="1"/>
  <c r="AO48" i="1"/>
  <c r="AO47" i="1"/>
  <c r="AO46" i="1"/>
  <c r="AO45" i="1"/>
  <c r="AO44" i="1"/>
  <c r="AO43" i="1"/>
  <c r="AO42" i="1"/>
  <c r="AO41" i="1"/>
  <c r="AO40" i="1"/>
  <c r="AO39" i="1"/>
  <c r="AO38" i="1"/>
  <c r="AO37" i="1"/>
  <c r="AO36" i="1"/>
  <c r="AO35" i="1"/>
  <c r="AO34" i="1"/>
  <c r="AO33" i="1"/>
  <c r="AO32" i="1"/>
  <c r="AO31" i="1"/>
  <c r="AO30" i="1"/>
  <c r="AO29" i="1"/>
  <c r="AO28" i="1"/>
  <c r="AO27" i="1"/>
  <c r="AO26" i="1"/>
  <c r="AO25" i="1"/>
  <c r="AO24" i="1"/>
  <c r="AO23" i="1"/>
  <c r="AO22" i="1"/>
  <c r="AO21" i="1"/>
  <c r="AO20" i="1"/>
  <c r="AO19" i="1"/>
  <c r="W18" i="1"/>
  <c r="AO18" i="1"/>
  <c r="AO17" i="1"/>
  <c r="AO16" i="1"/>
  <c r="AO15" i="1"/>
  <c r="AO14" i="1"/>
  <c r="AO13" i="1"/>
  <c r="AO12" i="1"/>
  <c r="AO11" i="1"/>
  <c r="AO10" i="1"/>
  <c r="AO9" i="1"/>
  <c r="BB17" i="1"/>
  <c r="BA17" i="1"/>
  <c r="AZ17" i="1"/>
  <c r="AW17" i="1"/>
  <c r="AX17" i="1"/>
  <c r="AT17" i="1"/>
  <c r="AU17" i="1"/>
  <c r="AQ17" i="1"/>
  <c r="AR17" i="1"/>
  <c r="AK17" i="1"/>
  <c r="AL17" i="1"/>
  <c r="AH17" i="1"/>
  <c r="AG17" i="1"/>
  <c r="AF17" i="1"/>
  <c r="AF49" i="1"/>
  <c r="AF48" i="1"/>
  <c r="AF47" i="1"/>
  <c r="AF46" i="1"/>
  <c r="AF45" i="1"/>
  <c r="AF44" i="1"/>
  <c r="AF43" i="1"/>
  <c r="AF42" i="1"/>
  <c r="AF41" i="1"/>
  <c r="AF40" i="1"/>
  <c r="AF39" i="1"/>
  <c r="AF38" i="1"/>
  <c r="AF37" i="1"/>
  <c r="AF36" i="1"/>
  <c r="AF35" i="1"/>
  <c r="AF34" i="1"/>
  <c r="AF33" i="1"/>
  <c r="AF32" i="1"/>
  <c r="AF31" i="1"/>
  <c r="AF30" i="1"/>
  <c r="AF29" i="1"/>
  <c r="AF28" i="1"/>
  <c r="AF27" i="1"/>
  <c r="AF26" i="1"/>
  <c r="AF25" i="1"/>
  <c r="AF24" i="1"/>
  <c r="AF23" i="1"/>
  <c r="AF22" i="1"/>
  <c r="AF21" i="1"/>
  <c r="AF20" i="1"/>
  <c r="AF19" i="1"/>
  <c r="AF18" i="1"/>
  <c r="AF16" i="1"/>
  <c r="AF14" i="1"/>
  <c r="AF13" i="1"/>
  <c r="AF12" i="1"/>
  <c r="AF11" i="1"/>
  <c r="AF10" i="1"/>
  <c r="AF9" i="1"/>
  <c r="AF15" i="1"/>
  <c r="AQ36" i="1"/>
  <c r="BB37" i="1"/>
  <c r="BA37" i="1"/>
  <c r="AZ37" i="1"/>
  <c r="AW37" i="1"/>
  <c r="AX37" i="1"/>
  <c r="AT37" i="1"/>
  <c r="AU37" i="1"/>
  <c r="AQ37" i="1"/>
  <c r="AR37" i="1"/>
  <c r="AK37" i="1"/>
  <c r="AL37" i="1"/>
  <c r="AH37" i="1"/>
  <c r="BB20" i="1"/>
  <c r="BA20" i="1"/>
  <c r="AZ20" i="1"/>
  <c r="AW20" i="1"/>
  <c r="AX20" i="1"/>
  <c r="AT20" i="1"/>
  <c r="AU20" i="1"/>
  <c r="AQ20" i="1"/>
  <c r="AR20" i="1"/>
  <c r="AK20" i="1"/>
  <c r="AL20" i="1"/>
  <c r="AH20" i="1"/>
  <c r="AG20" i="1"/>
  <c r="O25" i="1"/>
  <c r="O22" i="1"/>
  <c r="O16" i="1"/>
  <c r="O15" i="1"/>
  <c r="O14" i="1"/>
  <c r="O13" i="1"/>
  <c r="O12" i="1"/>
  <c r="O11" i="1"/>
  <c r="O10" i="1"/>
  <c r="O9" i="1"/>
  <c r="O49" i="1"/>
  <c r="O48" i="1"/>
  <c r="O47" i="1"/>
  <c r="O46" i="1"/>
  <c r="O45" i="1"/>
  <c r="O44" i="1"/>
  <c r="O43" i="1"/>
  <c r="O42" i="1"/>
  <c r="O41" i="1"/>
  <c r="O40" i="1"/>
  <c r="O33" i="1"/>
  <c r="O32" i="1"/>
  <c r="O31" i="1"/>
  <c r="O29" i="1"/>
  <c r="AG24" i="1"/>
  <c r="AH21" i="1"/>
  <c r="AG44" i="1"/>
  <c r="AG33" i="1"/>
  <c r="AW49" i="1"/>
  <c r="AX49" i="1"/>
  <c r="AT49" i="1"/>
  <c r="AU49" i="1"/>
  <c r="AQ49" i="1"/>
  <c r="AR49" i="1"/>
  <c r="AK49" i="1"/>
  <c r="AL49" i="1"/>
  <c r="AH49" i="1"/>
  <c r="AG49" i="1"/>
  <c r="AW48" i="1"/>
  <c r="AX48" i="1"/>
  <c r="AT48" i="1"/>
  <c r="AU48" i="1"/>
  <c r="AQ48" i="1"/>
  <c r="AR48" i="1"/>
  <c r="AK48" i="1"/>
  <c r="AL48" i="1"/>
  <c r="AH48" i="1"/>
  <c r="AG48" i="1"/>
  <c r="AW47" i="1"/>
  <c r="AX47" i="1"/>
  <c r="AT47" i="1"/>
  <c r="AU47" i="1"/>
  <c r="AQ47" i="1"/>
  <c r="AR47" i="1"/>
  <c r="AK47" i="1"/>
  <c r="AL47" i="1"/>
  <c r="AH47" i="1"/>
  <c r="AG47" i="1"/>
  <c r="AW46" i="1"/>
  <c r="AX46" i="1"/>
  <c r="AT46" i="1"/>
  <c r="AU46" i="1"/>
  <c r="AQ46" i="1"/>
  <c r="AR46" i="1"/>
  <c r="AK46" i="1"/>
  <c r="AL46" i="1"/>
  <c r="AH46" i="1"/>
  <c r="AG46" i="1"/>
  <c r="AW45" i="1"/>
  <c r="AX45" i="1"/>
  <c r="AT45" i="1"/>
  <c r="AU45" i="1"/>
  <c r="AQ45" i="1"/>
  <c r="AR45" i="1"/>
  <c r="AK45" i="1"/>
  <c r="AL45" i="1"/>
  <c r="AH45" i="1"/>
  <c r="AG45" i="1"/>
  <c r="AW44" i="1"/>
  <c r="AX44" i="1"/>
  <c r="AT44" i="1"/>
  <c r="AU44" i="1"/>
  <c r="AQ44" i="1"/>
  <c r="AR44" i="1"/>
  <c r="AK44" i="1"/>
  <c r="AL44" i="1"/>
  <c r="AH44" i="1"/>
  <c r="AW43" i="1"/>
  <c r="AX43" i="1"/>
  <c r="AT43" i="1"/>
  <c r="AU43" i="1"/>
  <c r="AQ43" i="1"/>
  <c r="AR43" i="1"/>
  <c r="AK43" i="1"/>
  <c r="AL43" i="1"/>
  <c r="AH43" i="1"/>
  <c r="AG43" i="1"/>
  <c r="AW42" i="1"/>
  <c r="AX42" i="1"/>
  <c r="AT42" i="1"/>
  <c r="AU42" i="1"/>
  <c r="AQ42" i="1"/>
  <c r="AR42" i="1"/>
  <c r="AK42" i="1"/>
  <c r="AL42" i="1"/>
  <c r="AH42" i="1"/>
  <c r="AG42" i="1"/>
  <c r="AW41" i="1"/>
  <c r="AX41" i="1"/>
  <c r="AT41" i="1"/>
  <c r="AU41" i="1"/>
  <c r="AQ41" i="1"/>
  <c r="AR41" i="1"/>
  <c r="AK41" i="1"/>
  <c r="AL41" i="1"/>
  <c r="AH41" i="1"/>
  <c r="AG41" i="1"/>
  <c r="AW40" i="1"/>
  <c r="AX40" i="1"/>
  <c r="AT40" i="1"/>
  <c r="AU40" i="1"/>
  <c r="AQ40" i="1"/>
  <c r="AR40" i="1"/>
  <c r="AK40" i="1"/>
  <c r="AL40" i="1"/>
  <c r="AH40" i="1"/>
  <c r="AG40" i="1"/>
  <c r="AW39" i="1"/>
  <c r="AX39" i="1"/>
  <c r="AT39" i="1"/>
  <c r="AU39" i="1"/>
  <c r="AQ39" i="1"/>
  <c r="AR39" i="1"/>
  <c r="AK39" i="1"/>
  <c r="AL39" i="1"/>
  <c r="AH39" i="1"/>
  <c r="AG39" i="1"/>
  <c r="AW38" i="1"/>
  <c r="AX38" i="1"/>
  <c r="AT38" i="1"/>
  <c r="AU38" i="1"/>
  <c r="AQ38" i="1"/>
  <c r="AR38" i="1"/>
  <c r="AK38" i="1"/>
  <c r="AL38" i="1"/>
  <c r="AH38" i="1"/>
  <c r="AG38" i="1"/>
  <c r="AW36" i="1"/>
  <c r="AX36" i="1"/>
  <c r="AT36" i="1"/>
  <c r="AU36" i="1"/>
  <c r="AR36" i="1"/>
  <c r="AK36" i="1"/>
  <c r="AL36" i="1"/>
  <c r="AH36" i="1"/>
  <c r="AG36" i="1"/>
  <c r="AW35" i="1"/>
  <c r="AX35" i="1"/>
  <c r="AT35" i="1"/>
  <c r="AU35" i="1"/>
  <c r="AQ35" i="1"/>
  <c r="AR35" i="1"/>
  <c r="AK35" i="1"/>
  <c r="AL35" i="1"/>
  <c r="AH35" i="1"/>
  <c r="AG35" i="1"/>
  <c r="AW34" i="1"/>
  <c r="AX34" i="1"/>
  <c r="AT34" i="1"/>
  <c r="AU34" i="1"/>
  <c r="AQ34" i="1"/>
  <c r="AR34" i="1"/>
  <c r="AK34" i="1"/>
  <c r="AL34" i="1"/>
  <c r="AH34" i="1"/>
  <c r="AG34" i="1"/>
  <c r="AW33" i="1"/>
  <c r="AX33" i="1"/>
  <c r="AT33" i="1"/>
  <c r="AU33" i="1"/>
  <c r="AQ33" i="1"/>
  <c r="AR33" i="1"/>
  <c r="AK33" i="1"/>
  <c r="AL33" i="1"/>
  <c r="AH33" i="1"/>
  <c r="AW32" i="1"/>
  <c r="AX32" i="1"/>
  <c r="AT32" i="1"/>
  <c r="AU32" i="1"/>
  <c r="AQ32" i="1"/>
  <c r="AR32" i="1"/>
  <c r="AK32" i="1"/>
  <c r="AL32" i="1"/>
  <c r="AH32" i="1"/>
  <c r="AG32" i="1"/>
  <c r="AW31" i="1"/>
  <c r="AX31" i="1"/>
  <c r="AT31" i="1"/>
  <c r="AU31" i="1"/>
  <c r="AQ31" i="1"/>
  <c r="AR31" i="1"/>
  <c r="AK31" i="1"/>
  <c r="AL31" i="1"/>
  <c r="AH31" i="1"/>
  <c r="AW30" i="1"/>
  <c r="AX30" i="1"/>
  <c r="AT30" i="1"/>
  <c r="AU30" i="1"/>
  <c r="AQ30" i="1"/>
  <c r="AR30" i="1"/>
  <c r="AK30" i="1"/>
  <c r="AL30" i="1"/>
  <c r="AH30" i="1"/>
  <c r="AG30" i="1"/>
  <c r="AG16" i="1"/>
  <c r="AH29" i="1"/>
  <c r="BB49" i="1"/>
  <c r="BA49" i="1"/>
  <c r="AZ49" i="1"/>
  <c r="BB48" i="1"/>
  <c r="BA48" i="1"/>
  <c r="AZ48" i="1"/>
  <c r="BB47" i="1"/>
  <c r="BA47" i="1"/>
  <c r="AZ47" i="1"/>
  <c r="BB46" i="1"/>
  <c r="BA46" i="1"/>
  <c r="AZ46" i="1"/>
  <c r="BB45" i="1"/>
  <c r="BA45" i="1"/>
  <c r="AZ45" i="1"/>
  <c r="BB44" i="1"/>
  <c r="BA44" i="1"/>
  <c r="AZ44" i="1"/>
  <c r="BB43" i="1"/>
  <c r="BA43" i="1"/>
  <c r="AZ43" i="1"/>
  <c r="BB42" i="1"/>
  <c r="BA42" i="1"/>
  <c r="AZ42" i="1"/>
  <c r="BB41" i="1"/>
  <c r="BA41" i="1"/>
  <c r="AZ41" i="1"/>
  <c r="BB40" i="1"/>
  <c r="BA40" i="1"/>
  <c r="AZ40" i="1"/>
  <c r="BB39" i="1"/>
  <c r="BA39" i="1"/>
  <c r="AZ39" i="1"/>
  <c r="BB38" i="1"/>
  <c r="BA38" i="1"/>
  <c r="AZ38" i="1"/>
  <c r="BB36" i="1"/>
  <c r="BA36" i="1"/>
  <c r="AZ36" i="1"/>
  <c r="BB35" i="1"/>
  <c r="BA35" i="1"/>
  <c r="AZ35" i="1"/>
  <c r="BB34" i="1"/>
  <c r="BA34" i="1"/>
  <c r="AZ34" i="1"/>
  <c r="BB33" i="1"/>
  <c r="BA33" i="1"/>
  <c r="AZ33" i="1"/>
  <c r="BB32" i="1"/>
  <c r="BA32" i="1"/>
  <c r="AZ32" i="1"/>
  <c r="BB31" i="1"/>
  <c r="BA31" i="1"/>
  <c r="AZ31" i="1"/>
  <c r="BB30" i="1"/>
  <c r="BA30" i="1"/>
  <c r="AZ30" i="1"/>
  <c r="AH19" i="1"/>
  <c r="AH18" i="1"/>
  <c r="AH28" i="1"/>
  <c r="AH27" i="1"/>
  <c r="AH26" i="1"/>
  <c r="AH25" i="1"/>
  <c r="C17" i="2"/>
  <c r="AH24" i="1"/>
  <c r="AH23" i="1"/>
  <c r="AH22" i="1"/>
  <c r="F10" i="2"/>
  <c r="AH16" i="1"/>
  <c r="AH15" i="1"/>
  <c r="AH14" i="1"/>
  <c r="AH13" i="1"/>
  <c r="AH12" i="1"/>
  <c r="AH11" i="1"/>
  <c r="AH10" i="1"/>
  <c r="AH9" i="1"/>
  <c r="AK16" i="1"/>
  <c r="F6" i="2"/>
  <c r="F13" i="2"/>
  <c r="AQ21" i="1"/>
  <c r="AR21" i="1"/>
  <c r="AQ26" i="1"/>
  <c r="AR26" i="1"/>
  <c r="AQ23" i="1"/>
  <c r="AR23" i="1"/>
  <c r="AQ16" i="1"/>
  <c r="AR16" i="1"/>
  <c r="AQ15" i="1"/>
  <c r="AR15" i="1"/>
  <c r="AQ14" i="1"/>
  <c r="AR14" i="1"/>
  <c r="AQ13" i="1"/>
  <c r="AR13" i="1"/>
  <c r="AR12" i="1"/>
  <c r="AQ11" i="1"/>
  <c r="AR11" i="1"/>
  <c r="AQ10" i="1"/>
  <c r="AR10" i="1"/>
  <c r="AQ9" i="1"/>
  <c r="AR9" i="1"/>
  <c r="AK21" i="1"/>
  <c r="AL21" i="1"/>
  <c r="AK26" i="1"/>
  <c r="AL26" i="1"/>
  <c r="AK23" i="1"/>
  <c r="AL23" i="1"/>
  <c r="AL16" i="1"/>
  <c r="AK15" i="1"/>
  <c r="AL15" i="1"/>
  <c r="AK14" i="1"/>
  <c r="AL14" i="1"/>
  <c r="AK13" i="1"/>
  <c r="AL13" i="1"/>
  <c r="AK12" i="1"/>
  <c r="AL12" i="1"/>
  <c r="AK11" i="1"/>
  <c r="AL11" i="1"/>
  <c r="AK10" i="1"/>
  <c r="AL10" i="1"/>
  <c r="AK9" i="1"/>
  <c r="AL9" i="1"/>
  <c r="AG21" i="1"/>
  <c r="AG19" i="1"/>
  <c r="AG18" i="1"/>
  <c r="AG29" i="1"/>
  <c r="AG28" i="1"/>
  <c r="AG27" i="1"/>
  <c r="AG26" i="1"/>
  <c r="AG25" i="1"/>
  <c r="AG23" i="1"/>
  <c r="AG22" i="1"/>
  <c r="AG15" i="1"/>
  <c r="AG14" i="1"/>
  <c r="AG13" i="1"/>
  <c r="AG12" i="1"/>
  <c r="AG11" i="1"/>
  <c r="AG10" i="1"/>
  <c r="AG9" i="1"/>
  <c r="AW26" i="1"/>
  <c r="AX26" i="1"/>
  <c r="AW22" i="1"/>
  <c r="AW16" i="1"/>
  <c r="AX16" i="1"/>
  <c r="AW14" i="1"/>
  <c r="AX14" i="1"/>
  <c r="AW21" i="1"/>
  <c r="AX21" i="1"/>
  <c r="AW19" i="1"/>
  <c r="AW18" i="1"/>
  <c r="AW29" i="1"/>
  <c r="AW28" i="1"/>
  <c r="AW27" i="1"/>
  <c r="AW25" i="1"/>
  <c r="AW24" i="1"/>
  <c r="AW23" i="1"/>
  <c r="AX23" i="1"/>
  <c r="AW15" i="1"/>
  <c r="AX15" i="1"/>
  <c r="AW13" i="1"/>
  <c r="AX13" i="1"/>
  <c r="AW12" i="1"/>
  <c r="AX12" i="1"/>
  <c r="AW11" i="1"/>
  <c r="AX11" i="1"/>
  <c r="AW10" i="1"/>
  <c r="AX10" i="1"/>
  <c r="AX9" i="1"/>
  <c r="AT21" i="1"/>
  <c r="AU21" i="1"/>
  <c r="AT19" i="1"/>
  <c r="AT18" i="1"/>
  <c r="AT29" i="1"/>
  <c r="AT28" i="1"/>
  <c r="AT27" i="1"/>
  <c r="AT26" i="1"/>
  <c r="AU26" i="1"/>
  <c r="AT25" i="1"/>
  <c r="AT24" i="1"/>
  <c r="AT23" i="1"/>
  <c r="AU23" i="1"/>
  <c r="AT22" i="1"/>
  <c r="AT16" i="1"/>
  <c r="AU16" i="1"/>
  <c r="AT15" i="1"/>
  <c r="AU15" i="1"/>
  <c r="AT14" i="1"/>
  <c r="AU14" i="1"/>
  <c r="AT13" i="1"/>
  <c r="AU13" i="1"/>
  <c r="AT12" i="1"/>
  <c r="AU12" i="1"/>
  <c r="AT11" i="1"/>
  <c r="AU11" i="1"/>
  <c r="AT10" i="1"/>
  <c r="AU10" i="1"/>
  <c r="AT9" i="1"/>
  <c r="AU9" i="1"/>
  <c r="BB21" i="1"/>
  <c r="BA21" i="1"/>
  <c r="H18" i="2"/>
  <c r="AZ21" i="1"/>
  <c r="BB19" i="1"/>
  <c r="BA19" i="1"/>
  <c r="AZ19" i="1"/>
  <c r="BB18" i="1"/>
  <c r="BA18" i="1"/>
  <c r="AZ18" i="1"/>
  <c r="BB29" i="1"/>
  <c r="BA29" i="1"/>
  <c r="AZ29" i="1"/>
  <c r="BB28" i="1"/>
  <c r="BA28" i="1"/>
  <c r="AZ28" i="1"/>
  <c r="BB27" i="1"/>
  <c r="BA27" i="1"/>
  <c r="AZ27" i="1"/>
  <c r="BB26" i="1"/>
  <c r="BA26" i="1"/>
  <c r="AZ26" i="1"/>
  <c r="BB25" i="1"/>
  <c r="BA25" i="1"/>
  <c r="AZ25" i="1"/>
  <c r="BB24" i="1"/>
  <c r="BA24" i="1"/>
  <c r="AZ24" i="1"/>
  <c r="BB23" i="1"/>
  <c r="BA23" i="1"/>
  <c r="AZ23" i="1"/>
  <c r="BB22" i="1"/>
  <c r="BA22" i="1"/>
  <c r="AZ22" i="1"/>
  <c r="BB16" i="1"/>
  <c r="BA16" i="1"/>
  <c r="AZ16" i="1"/>
  <c r="BB15" i="1"/>
  <c r="BA15" i="1"/>
  <c r="AZ15" i="1"/>
  <c r="BB14" i="1"/>
  <c r="BA14" i="1"/>
  <c r="AZ14" i="1"/>
  <c r="BB13" i="1"/>
  <c r="BA13" i="1"/>
  <c r="AZ13" i="1"/>
  <c r="BB12" i="1"/>
  <c r="BA12" i="1"/>
  <c r="AZ12" i="1"/>
  <c r="BB11" i="1"/>
  <c r="BA11" i="1"/>
  <c r="AZ11" i="1"/>
  <c r="BB10" i="1"/>
  <c r="BA10" i="1"/>
  <c r="AZ10" i="1"/>
  <c r="BB9" i="1"/>
  <c r="BA9" i="1"/>
  <c r="AZ9" i="1"/>
  <c r="B38" i="2"/>
  <c r="AQ19" i="1"/>
  <c r="AR19" i="1"/>
  <c r="AQ18" i="1"/>
  <c r="AR18" i="1"/>
  <c r="AQ29" i="1"/>
  <c r="AR29" i="1"/>
  <c r="AQ28" i="1"/>
  <c r="AR28" i="1"/>
  <c r="AQ27" i="1"/>
  <c r="AR27" i="1"/>
  <c r="AQ25" i="1"/>
  <c r="AR25" i="1"/>
  <c r="AQ22" i="1"/>
  <c r="AR22" i="1"/>
  <c r="AK19" i="1"/>
  <c r="AL19" i="1"/>
  <c r="AK18" i="1"/>
  <c r="AL18" i="1"/>
  <c r="AK29" i="1"/>
  <c r="AL29" i="1"/>
  <c r="AK28" i="1"/>
  <c r="AL28" i="1"/>
  <c r="AK27" i="1"/>
  <c r="AL27" i="1"/>
  <c r="AK25" i="1"/>
  <c r="AL25" i="1"/>
  <c r="AK22" i="1"/>
  <c r="AL22" i="1"/>
  <c r="AX22" i="1"/>
  <c r="AX19" i="1"/>
  <c r="AX18" i="1"/>
  <c r="AX29" i="1"/>
  <c r="AX28" i="1"/>
  <c r="AX27" i="1"/>
  <c r="AX25" i="1"/>
  <c r="AU19" i="1"/>
  <c r="AU18" i="1"/>
  <c r="AU29" i="1"/>
  <c r="AU28" i="1"/>
  <c r="AU27" i="1"/>
  <c r="AU25" i="1"/>
  <c r="AU22" i="1"/>
  <c r="AU24" i="1"/>
  <c r="AX24" i="1"/>
  <c r="AK24" i="1"/>
  <c r="AL24" i="1"/>
  <c r="AQ24" i="1"/>
  <c r="AR24" i="1"/>
</calcChain>
</file>

<file path=xl/sharedStrings.xml><?xml version="1.0" encoding="utf-8"?>
<sst xmlns="http://schemas.openxmlformats.org/spreadsheetml/2006/main" count="422" uniqueCount="234">
  <si>
    <t>china</t>
  </si>
  <si>
    <t>10 yuan</t>
  </si>
  <si>
    <t>pandas</t>
  </si>
  <si>
    <t>unicorn</t>
  </si>
  <si>
    <t>canada</t>
  </si>
  <si>
    <t>5 dollars</t>
  </si>
  <si>
    <t>e=mc2</t>
  </si>
  <si>
    <t>mm3</t>
  </si>
  <si>
    <t>weight</t>
  </si>
  <si>
    <t>grams</t>
  </si>
  <si>
    <t>mm</t>
  </si>
  <si>
    <t>lip</t>
  </si>
  <si>
    <t>mm2</t>
  </si>
  <si>
    <t>area</t>
  </si>
  <si>
    <t>volume</t>
  </si>
  <si>
    <t>error</t>
  </si>
  <si>
    <t>grams per troy ounce</t>
  </si>
  <si>
    <t>troy oz</t>
  </si>
  <si>
    <t>copper</t>
  </si>
  <si>
    <t>dollars</t>
  </si>
  <si>
    <t>grams per pound</t>
  </si>
  <si>
    <t>silver</t>
  </si>
  <si>
    <t>water</t>
  </si>
  <si>
    <t>gold</t>
  </si>
  <si>
    <t>Metal</t>
  </si>
  <si>
    <t>grams per ounce</t>
  </si>
  <si>
    <t>$/LB</t>
  </si>
  <si>
    <t>$/oz</t>
  </si>
  <si>
    <t>melt</t>
  </si>
  <si>
    <t>private</t>
  </si>
  <si>
    <t>n/a</t>
  </si>
  <si>
    <t>dry</t>
  </si>
  <si>
    <t>depth</t>
  </si>
  <si>
    <t>sealand</t>
  </si>
  <si>
    <t>orca</t>
  </si>
  <si>
    <t>usa</t>
  </si>
  <si>
    <t>is also the specific gravity (dry weight / water weight)</t>
  </si>
  <si>
    <t>peace</t>
  </si>
  <si>
    <t>st liberty</t>
  </si>
  <si>
    <t>mintage</t>
  </si>
  <si>
    <t>australia</t>
  </si>
  <si>
    <t>100 dollars</t>
  </si>
  <si>
    <t>kangaroo</t>
  </si>
  <si>
    <t>tin</t>
  </si>
  <si>
    <t>manganese</t>
  </si>
  <si>
    <t>1 dollar</t>
  </si>
  <si>
    <t>morgan</t>
  </si>
  <si>
    <t>kookaburra</t>
  </si>
  <si>
    <t>15 dollars</t>
  </si>
  <si>
    <t>calc</t>
  </si>
  <si>
    <t>thick</t>
  </si>
  <si>
    <t>Fineness</t>
  </si>
  <si>
    <t>nickel</t>
  </si>
  <si>
    <t>cupronickel</t>
  </si>
  <si>
    <t>copper85m</t>
  </si>
  <si>
    <t>S</t>
  </si>
  <si>
    <t>P</t>
  </si>
  <si>
    <t>fake</t>
  </si>
  <si>
    <t>25 dollars</t>
  </si>
  <si>
    <t>SerNo</t>
  </si>
  <si>
    <t>lead</t>
  </si>
  <si>
    <t>tungsten</t>
  </si>
  <si>
    <t>wolf</t>
  </si>
  <si>
    <t>20 dollars</t>
  </si>
  <si>
    <t>mint</t>
  </si>
  <si>
    <t>theme</t>
  </si>
  <si>
    <t>fiat</t>
  </si>
  <si>
    <t>year</t>
  </si>
  <si>
    <t>issuer</t>
  </si>
  <si>
    <t>value</t>
  </si>
  <si>
    <t>platinum</t>
  </si>
  <si>
    <t>titanium</t>
  </si>
  <si>
    <t>Mn</t>
  </si>
  <si>
    <t>Ti</t>
  </si>
  <si>
    <t>iron</t>
  </si>
  <si>
    <t>Fe</t>
  </si>
  <si>
    <t>Cu</t>
  </si>
  <si>
    <t>zinc</t>
  </si>
  <si>
    <t>Zn</t>
  </si>
  <si>
    <t>Sn</t>
  </si>
  <si>
    <t>Ni</t>
  </si>
  <si>
    <t>Au</t>
  </si>
  <si>
    <t>Ag</t>
  </si>
  <si>
    <t>Pb</t>
  </si>
  <si>
    <t>W</t>
  </si>
  <si>
    <t>Symbol</t>
  </si>
  <si>
    <t>Pt</t>
  </si>
  <si>
    <t>silver90c</t>
  </si>
  <si>
    <t>silver925c</t>
  </si>
  <si>
    <t>gold22Kc</t>
  </si>
  <si>
    <t>silver22Kc</t>
  </si>
  <si>
    <t>Alloy</t>
  </si>
  <si>
    <t>Base</t>
  </si>
  <si>
    <t>japan</t>
  </si>
  <si>
    <t>1 yen</t>
  </si>
  <si>
    <t>dragon</t>
  </si>
  <si>
    <t>brass</t>
  </si>
  <si>
    <t>specified</t>
  </si>
  <si>
    <t>dry oz</t>
  </si>
  <si>
    <t>bronze</t>
  </si>
  <si>
    <t>aluminum</t>
  </si>
  <si>
    <t>steel</t>
  </si>
  <si>
    <t>same as iron</t>
  </si>
  <si>
    <t>Notes</t>
  </si>
  <si>
    <t>ww</t>
  </si>
  <si>
    <t>measuremenets</t>
  </si>
  <si>
    <t>notes</t>
  </si>
  <si>
    <t>diameter</t>
  </si>
  <si>
    <t>thickness</t>
  </si>
  <si>
    <t>struck by Golden State Mint</t>
  </si>
  <si>
    <t>tweak</t>
  </si>
  <si>
    <t>enter</t>
  </si>
  <si>
    <t>or enter</t>
  </si>
  <si>
    <t>select</t>
  </si>
  <si>
    <t>note</t>
  </si>
  <si>
    <t>How to measure "water weight":</t>
  </si>
  <si>
    <t>You will also need some dental floss and a jug of DISTILLED water.  Do not use tap, filtered, or bottled water.</t>
  </si>
  <si>
    <t>The coin and floss must both be dry, so dry them off before starting if they are wet from a previous measurement.</t>
  </si>
  <si>
    <t>Remove the coin from the scale, and place the cup on the scale.</t>
  </si>
  <si>
    <t>With the cup of water ready to go on the scale, zero the scale again.</t>
  </si>
  <si>
    <t>Zero the scale if it doesn't read 0 grams.  The button may be marked "Zero", "Tare", "T", or "Z".</t>
  </si>
  <si>
    <t>Rigidly hold the floss until the weight stabolizes on the scale, and record that in the table under "Water Weight Grams"</t>
  </si>
  <si>
    <t>Remove and gently dry the coin.  Also dry the floss if you have more coins to measure.</t>
  </si>
  <si>
    <t>Weigh the bare coin.  Record the weight in the table under  "Dry Weight Grams"</t>
  </si>
  <si>
    <t>Use a precision digital caliper to measure the diameter and thickness of the coins in mm.</t>
  </si>
  <si>
    <t>Small coins are difficult to accurately measure due to their small water weight.  This would include coins like 1/10oz gold coins, mercury dimes, etc</t>
  </si>
  <si>
    <t>When you are measuring the water weight, you are measuring the weight of the water displaced by the introduction of the coin into the cup.</t>
  </si>
  <si>
    <t>Thanks to how SI units were made, one cubic centimeter of water is exactly 1 gram.  This means measuring displacement of water also measures</t>
  </si>
  <si>
    <t>the volume of the object placed into the water. (as long as it is fully submerged, not touching the sides or bottom, and has no air pockets)</t>
  </si>
  <si>
    <t>This method only measures the AVERAGE density of the object.  Air pockets or different internal materials will be part of the average.</t>
  </si>
  <si>
    <t>This would for example mean a gold bar with a copper slug in it would show up as the average density of the two, based on the ratio of the two</t>
  </si>
  <si>
    <t>Fill the cup with only as much water as you need (see below).  If your scale overloads, you need to use less water, find a more</t>
  </si>
  <si>
    <t>Lastly you will need a small cup, as described below.  Hard thin plastic works best, I use a spray can lid.</t>
  </si>
  <si>
    <t>approparely shaped/sized cup, or get a scale with a higher capacity that still has high accuracy.</t>
  </si>
  <si>
    <t>The coin and floss must both start out dry, so dry them off before starting if they are wet from a previous measurement.</t>
  </si>
  <si>
    <t>Only the weight of the displaced water was registering on the scale.  You are supporting the remaining weight of the coin with the floss.</t>
  </si>
  <si>
    <t>You could weigh the floss instead of the coin, which woud provide better accuracy, but precision hanging scales are harder to find than table scales.</t>
  </si>
  <si>
    <t>light device that can be used to tie/hook/loop the floss on hanging over the edge of the scale.</t>
  </si>
  <si>
    <t>Place the device on the scale, and with the floss already tied to the coin, hang it from the device.</t>
  </si>
  <si>
    <t>Zero the scale.</t>
  </si>
  <si>
    <t>of the basin.</t>
  </si>
  <si>
    <t>The scale will read in negative numbers, as you are measuring how much you have lightened the coin instead of weighing down the water.</t>
  </si>
  <si>
    <t>Record the (positive) weight under "Water Weight Grams".</t>
  </si>
  <si>
    <t>This method can work because it only requires the scale to support the weight of the coin plus the weight of the hanging aparatus, rather than</t>
  </si>
  <si>
    <t>Make sure your hanging aparatus is rigid.  If it flexes up when you hang the coin or when you raise the basin, some of the weight is being concealed</t>
  </si>
  <si>
    <t>from the scale by the stored energy in the spring of the hanging aparatus, and your readings will be inaccurate.</t>
  </si>
  <si>
    <t>Maneuver the basin of water under the coin, and raise it, to submerge the coin.  Make sure the coin does not touch the sides or bottom</t>
  </si>
  <si>
    <t>&lt;-- just enter data in green fields, other fields will update automatically</t>
  </si>
  <si>
    <t>enter coin info</t>
  </si>
  <si>
    <t>verifying physical</t>
  </si>
  <si>
    <t>You will need a precision scale that can measure grams to 2 decimal places. (3 places for small coins)  500g capacity is recommended, do your best.</t>
  </si>
  <si>
    <t>Small flatbed food scales seem to work the best, having both precision and adequate capacity.  I use a Skallo brand scale.</t>
  </si>
  <si>
    <t>Cut off a foot or so of dental floss and tie one end around the coin, so you can suspend it about level.  Use as little floss on the end near the coin as posssible</t>
  </si>
  <si>
    <t>materials in the bar.  A bar with an air pocket void in it would also lower average density.</t>
  </si>
  <si>
    <t>the coin is made from.  Precious metals are heavier than most common metals, so to make a fake coin using a common metal will usually require them</t>
  </si>
  <si>
    <t>to make the coin larger than normal (and coins are easy to measure) OR lighter than normal.  (coins are also easy to weigh)</t>
  </si>
  <si>
    <t>If you encounter  a "round" (a privately minted coin) you probably know the correct weight but not the correct width and thickness.</t>
  </si>
  <si>
    <t xml:space="preserve">Measuring the specific gravity of the round will at least help you verify that it's made of the correct metal.  </t>
  </si>
  <si>
    <t>The biggest risk right now seems to be counterfeit gold bars.  A 10oz gold bar is a significant investment, but could be a tungsten slug with</t>
  </si>
  <si>
    <t>will weigh exactly 10oz on your scale, making it difficult to detect the forgery.</t>
  </si>
  <si>
    <t>heavy gold plating on it. (I have seen them!)  The density of tungsten is close enough to gold that it may appear to be the right size, and</t>
  </si>
  <si>
    <t>volume caused by the use of the tungsten slug.</t>
  </si>
  <si>
    <t>But you will be able to identify such a fake by measuring its wet weight (to calculate its specifc gavity/averag density) and spot the small difference in</t>
  </si>
  <si>
    <t>the weight of the coin plus the weight of a large basin of water.  It's also easier to get a stable reading when lifting the basin instead of the coin.</t>
  </si>
  <si>
    <t>This method DOES NOT improve accuracy over the previously described method, because you are still measuring the (small) change in coin weight in water.</t>
  </si>
  <si>
    <t>gold22Kcs</t>
  </si>
  <si>
    <t>modern US gold eagles</t>
  </si>
  <si>
    <t>ag.03 cu.0533</t>
  </si>
  <si>
    <t>Specific Gravity</t>
  </si>
  <si>
    <t>solid, grams/cm3</t>
  </si>
  <si>
    <t>planchet volume</t>
  </si>
  <si>
    <t>22 karat with copper alloy</t>
  </si>
  <si>
    <t>92.5% silver, with copper alloy</t>
  </si>
  <si>
    <t>common ratio/estimate, alloys vary</t>
  </si>
  <si>
    <t>Al</t>
  </si>
  <si>
    <t>^^^</t>
  </si>
  <si>
    <t>by alloy</t>
  </si>
  <si>
    <t>allloy</t>
  </si>
  <si>
    <t>10 dollars</t>
  </si>
  <si>
    <t>1/2 dollar</t>
  </si>
  <si>
    <t>&lt;-- (water weight grams) needs to be entered with higher prcision for small coins such as 1/10oz gold</t>
  </si>
  <si>
    <t>calculate</t>
  </si>
  <si>
    <t>1/10 troy oz of gold, dilluted to 22k by adding silver and copper</t>
  </si>
  <si>
    <t>grains</t>
  </si>
  <si>
    <t>grams per grain</t>
  </si>
  <si>
    <t xml:space="preserve">                  enter expected dry weight</t>
  </si>
  <si>
    <t>lighter die press makes narrwer coin with less lip depth</t>
  </si>
  <si>
    <t>20 sen</t>
  </si>
  <si>
    <t>50 sen</t>
  </si>
  <si>
    <t>10 sen</t>
  </si>
  <si>
    <t>silver80c</t>
  </si>
  <si>
    <t>by dens+vol</t>
  </si>
  <si>
    <t>density</t>
  </si>
  <si>
    <t>by alloy/wt</t>
  </si>
  <si>
    <t>dry wt</t>
  </si>
  <si>
    <t>silver72c</t>
  </si>
  <si>
    <t>dragon/sunburst</t>
  </si>
  <si>
    <t>dragon/wreath</t>
  </si>
  <si>
    <t>sunburst/phoenixes</t>
  </si>
  <si>
    <t>sunburst/wreath</t>
  </si>
  <si>
    <t>wt</t>
  </si>
  <si>
    <t>NGC</t>
  </si>
  <si>
    <t>URL</t>
  </si>
  <si>
    <t>coin</t>
  </si>
  <si>
    <t>lightened by heavy cleaning</t>
  </si>
  <si>
    <t>x</t>
  </si>
  <si>
    <t>joan/clipper</t>
  </si>
  <si>
    <t>arms/orca</t>
  </si>
  <si>
    <t>roy/arms</t>
  </si>
  <si>
    <t>high dot</t>
  </si>
  <si>
    <t>value/banners</t>
  </si>
  <si>
    <t>gold90</t>
  </si>
  <si>
    <t>by wt+vol</t>
  </si>
  <si>
    <t>by wt+alloy</t>
  </si>
  <si>
    <t>by wt+ww</t>
  </si>
  <si>
    <t>enter physical measurements made</t>
  </si>
  <si>
    <t>by size</t>
  </si>
  <si>
    <t>calc lip</t>
  </si>
  <si>
    <t>alloy+wt</t>
  </si>
  <si>
    <t>by size+</t>
  </si>
  <si>
    <t>calc wt</t>
  </si>
  <si>
    <t>calc ww</t>
  </si>
  <si>
    <t>&lt;-- tweak lip depth to get (volume), (weight by ww) and (density by size+wt) close to expected values</t>
  </si>
  <si>
    <t>Wu Jiano</t>
  </si>
  <si>
    <t>vol</t>
  </si>
  <si>
    <t>silver50c</t>
  </si>
  <si>
    <t>Carefully lower the coin into the water.  It needs to be completely submerged, at least 2mm below the surface, AND NOT TOUCHING the bottom or sides.</t>
  </si>
  <si>
    <t>The best way to hold the floos is with a "helping hands" RIGID holder.  Don't suspend by hand, that will affect the reading.</t>
  </si>
  <si>
    <t>You may continue using the same cup of water, just MAKE SURE to zero the scale before lowering in the next coin., due to the loss of water on the previous coin.</t>
  </si>
  <si>
    <t>Cells in the Verify section turn yellow or red if they are out of expected tolerance.  Adjust the lip mm to zero out the water weigh error.</t>
  </si>
  <si>
    <t>Measuring a coin's specific gravity like this, along with weighing the coin's natural dry weight, allows you to confirm the average density of the material</t>
  </si>
  <si>
    <t>The easiest cheat is to make the coin slihtly thicker, becaue it greatly affects weight with only a very small increase in thickness, which can be overlooked.</t>
  </si>
  <si>
    <t>It's also possible to measure larger coins using a large basin of water that is too heavy for your scale.  To do this, obtain a "helping hands" or other</t>
  </si>
  <si>
    <t>5 Jino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</si>
</sst>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0.000"/>
    <numFmt numFmtId="166" formatCode="0.0000"/>
    <numFmt numFmtId="167" formatCode="0.0000000"/>
  </numFmts>
  <fonts count="10" x14ac:knownFonts="1">
    <font>
      <sz val="12"/>
      <color theme="1"/>
      <name val="Calibri"/>
      <family val="2"/>
      <scheme val="minor"/>
    </font>
    <font>
      <b/>
      <sz val="12"/>
      <color theme="1"/>
      <name val="Calibri"/>
      <family val="2"/>
      <scheme val="minor"/>
    </font>
    <font>
      <sz val="12"/>
      <color rgb="FF222222"/>
      <name val="Arial"/>
    </font>
    <font>
      <sz val="12"/>
      <color rgb="FFFF0000"/>
      <name val="Calibri"/>
      <family val="2"/>
      <scheme val="minor"/>
    </font>
    <font>
      <b/>
      <sz val="12"/>
      <color rgb="FFFF0000"/>
      <name val="Calibri"/>
      <family val="2"/>
      <scheme val="minor"/>
    </font>
    <font>
      <b/>
      <sz val="12"/>
      <color rgb="FF00B050"/>
      <name val="Calibri"/>
      <family val="2"/>
      <scheme val="minor"/>
    </font>
    <font>
      <b/>
      <sz val="12"/>
      <color theme="0" tint="-0.34998626667073579"/>
      <name val="Calibri"/>
      <family val="2"/>
      <scheme val="minor"/>
    </font>
    <font>
      <u/>
      <sz val="12"/>
      <color theme="10"/>
      <name val="Calibri"/>
      <family val="2"/>
      <scheme val="minor"/>
    </font>
    <font>
      <sz val="12"/>
      <color rgb="FF000000"/>
      <name val="Arial"/>
      <family val="2"/>
    </font>
    <font>
      <sz val="12"/>
      <color theme="10"/>
      <name val="Calibri"/>
      <family val="2"/>
      <scheme val="minor"/>
    </font>
  </fonts>
  <fills count="7">
    <fill>
      <patternFill patternType="none"/>
    </fill>
    <fill>
      <patternFill patternType="gray125"/>
    </fill>
    <fill>
      <patternFill patternType="solid">
        <fgColor theme="8" tint="0.399975585192419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C4B0FF"/>
        <bgColor indexed="64"/>
      </patternFill>
    </fill>
    <fill>
      <patternFill patternType="solid">
        <fgColor rgb="FFFFB0B0"/>
        <bgColor indexed="64"/>
      </patternFill>
    </fill>
  </fills>
  <borders count="12">
    <border>
      <left/>
      <right/>
      <top/>
      <bottom/>
      <diagonal/>
    </border>
    <border>
      <left/>
      <right/>
      <top/>
      <bottom style="thin">
        <color auto="1"/>
      </bottom>
      <diagonal/>
    </border>
    <border>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s>
  <cellStyleXfs count="2">
    <xf numFmtId="0" fontId="0" fillId="0" borderId="0"/>
    <xf numFmtId="0" fontId="7" fillId="0" borderId="0" applyNumberFormat="0" applyFill="0" applyBorder="0" applyAlignment="0" applyProtection="0"/>
  </cellStyleXfs>
  <cellXfs count="166">
    <xf numFmtId="0" fontId="0" fillId="0" borderId="0" xfId="0"/>
    <xf numFmtId="0" fontId="1" fillId="0" borderId="0" xfId="0" applyFont="1"/>
    <xf numFmtId="0" fontId="0" fillId="0" borderId="0" xfId="0" applyAlignment="1">
      <alignment horizontal="left"/>
    </xf>
    <xf numFmtId="0" fontId="0" fillId="0" borderId="0" xfId="0" applyAlignment="1">
      <alignment horizontal="center"/>
    </xf>
    <xf numFmtId="2" fontId="0" fillId="0" borderId="0" xfId="0" applyNumberFormat="1" applyAlignment="1">
      <alignment horizontal="center"/>
    </xf>
    <xf numFmtId="1" fontId="0" fillId="0" borderId="0" xfId="0" applyNumberFormat="1" applyAlignment="1">
      <alignment horizontal="center"/>
    </xf>
    <xf numFmtId="9" fontId="0" fillId="0" borderId="0" xfId="0" applyNumberFormat="1" applyAlignment="1">
      <alignment horizontal="center"/>
    </xf>
    <xf numFmtId="164" fontId="0" fillId="0" borderId="0" xfId="0" applyNumberFormat="1" applyAlignment="1">
      <alignment horizontal="center"/>
    </xf>
    <xf numFmtId="164" fontId="0" fillId="0" borderId="0" xfId="0" applyNumberFormat="1" applyAlignment="1">
      <alignment horizontal="left"/>
    </xf>
    <xf numFmtId="164" fontId="2" fillId="0" borderId="0" xfId="0" applyNumberFormat="1" applyFont="1" applyAlignment="1">
      <alignment horizontal="left"/>
    </xf>
    <xf numFmtId="165" fontId="0" fillId="0" borderId="0" xfId="0" applyNumberFormat="1" applyAlignment="1">
      <alignment horizontal="center"/>
    </xf>
    <xf numFmtId="164" fontId="1" fillId="0" borderId="0" xfId="0" applyNumberFormat="1" applyFont="1" applyAlignment="1">
      <alignment horizontal="left"/>
    </xf>
    <xf numFmtId="3" fontId="0" fillId="0" borderId="0" xfId="0" applyNumberFormat="1" applyAlignment="1">
      <alignment horizontal="center"/>
    </xf>
    <xf numFmtId="0" fontId="0" fillId="0" borderId="0" xfId="0" applyFill="1" applyAlignment="1">
      <alignment horizontal="center"/>
    </xf>
    <xf numFmtId="165" fontId="0" fillId="0" borderId="0" xfId="0" applyNumberFormat="1"/>
    <xf numFmtId="0" fontId="0" fillId="0" borderId="1" xfId="0" applyBorder="1" applyAlignment="1">
      <alignment horizontal="center"/>
    </xf>
    <xf numFmtId="3" fontId="0" fillId="0" borderId="1" xfId="0" applyNumberFormat="1" applyBorder="1" applyAlignment="1">
      <alignment horizontal="center"/>
    </xf>
    <xf numFmtId="165" fontId="0" fillId="0" borderId="1" xfId="0" applyNumberFormat="1" applyBorder="1" applyAlignment="1">
      <alignment horizontal="center"/>
    </xf>
    <xf numFmtId="2" fontId="0" fillId="0" borderId="1" xfId="0" applyNumberFormat="1" applyBorder="1" applyAlignment="1">
      <alignment horizontal="center"/>
    </xf>
    <xf numFmtId="1" fontId="0" fillId="0" borderId="1" xfId="0" applyNumberFormat="1" applyBorder="1" applyAlignment="1">
      <alignment horizontal="center"/>
    </xf>
    <xf numFmtId="164" fontId="0" fillId="0" borderId="1" xfId="0" applyNumberFormat="1" applyBorder="1" applyAlignment="1">
      <alignment horizontal="center"/>
    </xf>
    <xf numFmtId="0" fontId="0" fillId="0" borderId="2" xfId="0" applyBorder="1" applyAlignment="1">
      <alignment horizontal="center"/>
    </xf>
    <xf numFmtId="3" fontId="0" fillId="0" borderId="2" xfId="0" applyNumberFormat="1" applyBorder="1" applyAlignment="1">
      <alignment horizontal="center"/>
    </xf>
    <xf numFmtId="165" fontId="0" fillId="0" borderId="2" xfId="0" applyNumberFormat="1" applyBorder="1" applyAlignment="1">
      <alignment horizontal="center"/>
    </xf>
    <xf numFmtId="2" fontId="0" fillId="0" borderId="2" xfId="0" applyNumberFormat="1" applyBorder="1" applyAlignment="1">
      <alignment horizontal="center"/>
    </xf>
    <xf numFmtId="1" fontId="0" fillId="0" borderId="2" xfId="0" applyNumberFormat="1" applyBorder="1" applyAlignment="1">
      <alignment horizontal="center"/>
    </xf>
    <xf numFmtId="164" fontId="0" fillId="0" borderId="2" xfId="0" applyNumberFormat="1" applyBorder="1" applyAlignment="1">
      <alignment horizontal="center"/>
    </xf>
    <xf numFmtId="0" fontId="1" fillId="2" borderId="1" xfId="0" applyFont="1" applyFill="1" applyBorder="1" applyAlignment="1">
      <alignment horizontal="center"/>
    </xf>
    <xf numFmtId="0" fontId="0" fillId="0" borderId="0" xfId="0" applyFont="1"/>
    <xf numFmtId="0" fontId="0" fillId="0" borderId="0" xfId="0" applyBorder="1"/>
    <xf numFmtId="9" fontId="0" fillId="0" borderId="1" xfId="0" applyNumberFormat="1" applyFill="1" applyBorder="1" applyAlignment="1">
      <alignment horizontal="center"/>
    </xf>
    <xf numFmtId="9" fontId="0" fillId="0" borderId="2" xfId="0" applyNumberFormat="1" applyFill="1" applyBorder="1" applyAlignment="1">
      <alignment horizontal="center"/>
    </xf>
    <xf numFmtId="1" fontId="0" fillId="0" borderId="0" xfId="0" applyNumberFormat="1" applyFill="1" applyAlignment="1">
      <alignment horizontal="center"/>
    </xf>
    <xf numFmtId="165" fontId="0" fillId="0" borderId="0" xfId="0" applyNumberFormat="1" applyFill="1" applyAlignment="1">
      <alignment horizontal="center"/>
    </xf>
    <xf numFmtId="0" fontId="0" fillId="0" borderId="1" xfId="0" applyBorder="1" applyAlignment="1">
      <alignment horizontal="left"/>
    </xf>
    <xf numFmtId="2" fontId="0" fillId="0" borderId="1" xfId="0" applyNumberFormat="1" applyFill="1" applyBorder="1" applyAlignment="1">
      <alignment horizontal="center"/>
    </xf>
    <xf numFmtId="2" fontId="0" fillId="0" borderId="2" xfId="0" applyNumberFormat="1" applyFill="1" applyBorder="1" applyAlignment="1">
      <alignment horizontal="center"/>
    </xf>
    <xf numFmtId="0" fontId="0" fillId="0" borderId="2" xfId="0" applyBorder="1" applyAlignment="1">
      <alignment horizontal="left"/>
    </xf>
    <xf numFmtId="1" fontId="0" fillId="0" borderId="1" xfId="0" applyNumberFormat="1" applyFill="1" applyBorder="1" applyAlignment="1">
      <alignment horizontal="center"/>
    </xf>
    <xf numFmtId="1" fontId="0" fillId="0" borderId="2" xfId="0" applyNumberFormat="1" applyFill="1" applyBorder="1" applyAlignment="1">
      <alignment horizontal="center"/>
    </xf>
    <xf numFmtId="165" fontId="0" fillId="0" borderId="1" xfId="0" applyNumberFormat="1" applyFill="1" applyBorder="1" applyAlignment="1">
      <alignment horizontal="center"/>
    </xf>
    <xf numFmtId="165" fontId="0" fillId="0" borderId="2" xfId="0" applyNumberFormat="1" applyFill="1" applyBorder="1" applyAlignment="1">
      <alignment horizontal="center"/>
    </xf>
    <xf numFmtId="0" fontId="0" fillId="0" borderId="0" xfId="0" applyFill="1" applyBorder="1" applyAlignment="1">
      <alignment horizontal="center"/>
    </xf>
    <xf numFmtId="0" fontId="0" fillId="0" borderId="0" xfId="0" applyBorder="1" applyAlignment="1">
      <alignment horizontal="center"/>
    </xf>
    <xf numFmtId="3" fontId="0" fillId="0" borderId="0" xfId="0" applyNumberFormat="1" applyBorder="1" applyAlignment="1">
      <alignment horizontal="center"/>
    </xf>
    <xf numFmtId="1" fontId="0" fillId="0" borderId="0" xfId="0" applyNumberFormat="1" applyFill="1" applyBorder="1" applyAlignment="1">
      <alignment horizontal="center"/>
    </xf>
    <xf numFmtId="165" fontId="0" fillId="0" borderId="0" xfId="0" applyNumberFormat="1" applyBorder="1" applyAlignment="1">
      <alignment horizontal="center"/>
    </xf>
    <xf numFmtId="2" fontId="0" fillId="0" borderId="0" xfId="0" applyNumberFormat="1" applyBorder="1" applyAlignment="1">
      <alignment horizontal="center"/>
    </xf>
    <xf numFmtId="1" fontId="0" fillId="0" borderId="0" xfId="0" applyNumberFormat="1" applyBorder="1" applyAlignment="1">
      <alignment horizontal="center"/>
    </xf>
    <xf numFmtId="165" fontId="0" fillId="0" borderId="0" xfId="0" applyNumberFormat="1" applyFill="1" applyBorder="1" applyAlignment="1">
      <alignment horizontal="center"/>
    </xf>
    <xf numFmtId="2" fontId="4" fillId="0" borderId="0" xfId="0" applyNumberFormat="1" applyFont="1" applyBorder="1" applyAlignment="1">
      <alignment horizontal="center"/>
    </xf>
    <xf numFmtId="9" fontId="0" fillId="0" borderId="0" xfId="0" applyNumberFormat="1" applyFill="1" applyBorder="1" applyAlignment="1">
      <alignment horizontal="center"/>
    </xf>
    <xf numFmtId="2" fontId="0" fillId="0" borderId="0" xfId="0" applyNumberFormat="1" applyFill="1" applyBorder="1" applyAlignment="1">
      <alignment horizontal="center"/>
    </xf>
    <xf numFmtId="9" fontId="0" fillId="0" borderId="0" xfId="0" applyNumberFormat="1" applyBorder="1" applyAlignment="1">
      <alignment horizontal="center"/>
    </xf>
    <xf numFmtId="164" fontId="0" fillId="0" borderId="0" xfId="0" applyNumberFormat="1" applyBorder="1" applyAlignment="1">
      <alignment horizontal="center"/>
    </xf>
    <xf numFmtId="0" fontId="0" fillId="0" borderId="0" xfId="0" applyBorder="1" applyAlignment="1">
      <alignment horizontal="left"/>
    </xf>
    <xf numFmtId="0" fontId="0" fillId="0" borderId="0" xfId="0" applyFill="1" applyBorder="1" applyAlignment="1">
      <alignment horizontal="left"/>
    </xf>
    <xf numFmtId="0" fontId="0" fillId="0" borderId="0" xfId="0" applyFill="1" applyBorder="1"/>
    <xf numFmtId="3" fontId="0" fillId="0" borderId="0" xfId="0" applyNumberFormat="1" applyFill="1" applyBorder="1" applyAlignment="1">
      <alignment horizontal="left"/>
    </xf>
    <xf numFmtId="165" fontId="0" fillId="0" borderId="0" xfId="0" applyNumberFormat="1" applyFill="1" applyBorder="1" applyAlignment="1">
      <alignment horizontal="left"/>
    </xf>
    <xf numFmtId="1" fontId="0" fillId="0" borderId="0" xfId="0" applyNumberFormat="1" applyFill="1" applyBorder="1" applyAlignment="1">
      <alignment horizontal="left"/>
    </xf>
    <xf numFmtId="164" fontId="0" fillId="0" borderId="0" xfId="0" applyNumberFormat="1" applyFill="1" applyBorder="1" applyAlignment="1">
      <alignment horizontal="left"/>
    </xf>
    <xf numFmtId="3" fontId="0" fillId="0" borderId="0" xfId="0" applyNumberFormat="1" applyBorder="1" applyAlignment="1">
      <alignment horizontal="left"/>
    </xf>
    <xf numFmtId="1" fontId="1" fillId="0" borderId="0" xfId="0" applyNumberFormat="1" applyFont="1" applyFill="1" applyBorder="1" applyAlignment="1">
      <alignment horizontal="center"/>
    </xf>
    <xf numFmtId="2" fontId="1" fillId="0" borderId="0" xfId="0" applyNumberFormat="1" applyFont="1" applyBorder="1" applyAlignment="1">
      <alignment horizontal="center"/>
    </xf>
    <xf numFmtId="1" fontId="1" fillId="0" borderId="0" xfId="0" applyNumberFormat="1" applyFont="1" applyBorder="1" applyAlignment="1">
      <alignment horizontal="center"/>
    </xf>
    <xf numFmtId="9" fontId="1" fillId="0" borderId="0" xfId="0" applyNumberFormat="1" applyFont="1" applyFill="1" applyBorder="1" applyAlignment="1">
      <alignment horizontal="center"/>
    </xf>
    <xf numFmtId="164" fontId="1" fillId="0" borderId="0" xfId="0" applyNumberFormat="1" applyFont="1" applyBorder="1" applyAlignment="1">
      <alignment horizontal="center"/>
    </xf>
    <xf numFmtId="0" fontId="1" fillId="0" borderId="0" xfId="0" applyFont="1" applyBorder="1" applyAlignment="1">
      <alignment horizontal="left"/>
    </xf>
    <xf numFmtId="0" fontId="1" fillId="0" borderId="0" xfId="0" applyFont="1" applyBorder="1" applyAlignment="1">
      <alignment horizontal="center"/>
    </xf>
    <xf numFmtId="3" fontId="1" fillId="0" borderId="0" xfId="0" applyNumberFormat="1" applyFont="1" applyBorder="1" applyAlignment="1">
      <alignment horizontal="center"/>
    </xf>
    <xf numFmtId="165" fontId="1" fillId="0" borderId="0" xfId="0" applyNumberFormat="1" applyFont="1" applyBorder="1" applyAlignment="1">
      <alignment horizontal="center"/>
    </xf>
    <xf numFmtId="0" fontId="1" fillId="2" borderId="0" xfId="0" applyFont="1" applyFill="1" applyBorder="1" applyAlignment="1">
      <alignment horizontal="center"/>
    </xf>
    <xf numFmtId="165" fontId="1" fillId="2" borderId="0" xfId="0" applyNumberFormat="1" applyFont="1" applyFill="1" applyBorder="1" applyAlignment="1">
      <alignment horizontal="center"/>
    </xf>
    <xf numFmtId="1" fontId="1" fillId="2" borderId="0" xfId="0" applyNumberFormat="1" applyFont="1" applyFill="1" applyBorder="1" applyAlignment="1">
      <alignment horizontal="center"/>
    </xf>
    <xf numFmtId="0" fontId="0" fillId="0" borderId="3" xfId="0" applyFill="1" applyBorder="1" applyAlignment="1">
      <alignment horizontal="center"/>
    </xf>
    <xf numFmtId="0" fontId="0" fillId="0" borderId="4" xfId="0" applyBorder="1" applyAlignment="1">
      <alignment horizontal="center"/>
    </xf>
    <xf numFmtId="3" fontId="0" fillId="0" borderId="4" xfId="0" applyNumberFormat="1" applyBorder="1" applyAlignment="1">
      <alignment horizontal="center"/>
    </xf>
    <xf numFmtId="1" fontId="0" fillId="0" borderId="4" xfId="0" applyNumberFormat="1" applyFill="1" applyBorder="1" applyAlignment="1">
      <alignment horizontal="center"/>
    </xf>
    <xf numFmtId="165" fontId="0" fillId="0" borderId="4" xfId="0" applyNumberFormat="1" applyBorder="1" applyAlignment="1">
      <alignment horizontal="center"/>
    </xf>
    <xf numFmtId="2" fontId="0" fillId="0" borderId="4" xfId="0" applyNumberFormat="1" applyBorder="1" applyAlignment="1">
      <alignment horizontal="center"/>
    </xf>
    <xf numFmtId="1" fontId="0" fillId="0" borderId="4" xfId="0" applyNumberFormat="1" applyBorder="1" applyAlignment="1">
      <alignment horizontal="center"/>
    </xf>
    <xf numFmtId="165" fontId="0" fillId="0" borderId="4" xfId="0" applyNumberFormat="1" applyFill="1" applyBorder="1" applyAlignment="1">
      <alignment horizontal="center"/>
    </xf>
    <xf numFmtId="0" fontId="0" fillId="0" borderId="4" xfId="0" applyFill="1" applyBorder="1" applyAlignment="1">
      <alignment horizontal="center"/>
    </xf>
    <xf numFmtId="9" fontId="0" fillId="0" borderId="4" xfId="0" applyNumberFormat="1" applyBorder="1" applyAlignment="1">
      <alignment horizontal="center"/>
    </xf>
    <xf numFmtId="164" fontId="0" fillId="0" borderId="4" xfId="0" applyNumberFormat="1" applyBorder="1" applyAlignment="1">
      <alignment horizontal="center"/>
    </xf>
    <xf numFmtId="0" fontId="0" fillId="0" borderId="4" xfId="0" applyBorder="1" applyAlignment="1">
      <alignment horizontal="left"/>
    </xf>
    <xf numFmtId="0" fontId="0" fillId="0" borderId="5" xfId="0" applyBorder="1" applyAlignment="1">
      <alignment horizontal="center"/>
    </xf>
    <xf numFmtId="0" fontId="0" fillId="0" borderId="6" xfId="0" applyFill="1" applyBorder="1" applyAlignment="1">
      <alignment horizontal="center"/>
    </xf>
    <xf numFmtId="0" fontId="0" fillId="0" borderId="7" xfId="0" applyBorder="1" applyAlignment="1">
      <alignment horizontal="center"/>
    </xf>
    <xf numFmtId="0" fontId="0" fillId="0" borderId="6" xfId="0" applyFill="1" applyBorder="1" applyAlignment="1">
      <alignment horizontal="left"/>
    </xf>
    <xf numFmtId="0" fontId="0" fillId="0" borderId="7" xfId="0" applyFill="1" applyBorder="1" applyAlignment="1">
      <alignment horizontal="left"/>
    </xf>
    <xf numFmtId="0" fontId="0" fillId="0" borderId="7" xfId="0" applyBorder="1" applyAlignment="1">
      <alignment horizontal="left"/>
    </xf>
    <xf numFmtId="0" fontId="0" fillId="0" borderId="8" xfId="0" applyFill="1" applyBorder="1" applyAlignment="1">
      <alignment horizontal="center"/>
    </xf>
    <xf numFmtId="0" fontId="0" fillId="0" borderId="9" xfId="0" applyBorder="1" applyAlignment="1">
      <alignment horizontal="center"/>
    </xf>
    <xf numFmtId="3" fontId="0" fillId="0" borderId="9" xfId="0" applyNumberFormat="1" applyBorder="1" applyAlignment="1">
      <alignment horizontal="center"/>
    </xf>
    <xf numFmtId="1" fontId="0" fillId="0" borderId="9" xfId="0" applyNumberFormat="1" applyFill="1" applyBorder="1" applyAlignment="1">
      <alignment horizontal="center"/>
    </xf>
    <xf numFmtId="165" fontId="0" fillId="0" borderId="9" xfId="0" applyNumberFormat="1" applyBorder="1" applyAlignment="1">
      <alignment horizontal="center"/>
    </xf>
    <xf numFmtId="2" fontId="0" fillId="0" borderId="9" xfId="0" applyNumberFormat="1" applyBorder="1" applyAlignment="1">
      <alignment horizontal="center"/>
    </xf>
    <xf numFmtId="1" fontId="0" fillId="0" borderId="9" xfId="0" applyNumberFormat="1" applyBorder="1" applyAlignment="1">
      <alignment horizontal="center"/>
    </xf>
    <xf numFmtId="165" fontId="0" fillId="0" borderId="9" xfId="0" applyNumberFormat="1" applyFill="1" applyBorder="1" applyAlignment="1">
      <alignment horizontal="center"/>
    </xf>
    <xf numFmtId="0" fontId="0" fillId="0" borderId="9" xfId="0" applyFill="1" applyBorder="1" applyAlignment="1">
      <alignment horizontal="center"/>
    </xf>
    <xf numFmtId="9" fontId="0" fillId="0" borderId="9" xfId="0" applyNumberFormat="1" applyBorder="1" applyAlignment="1">
      <alignment horizontal="center"/>
    </xf>
    <xf numFmtId="164" fontId="0" fillId="0" borderId="9" xfId="0" applyNumberFormat="1" applyBorder="1" applyAlignment="1">
      <alignment horizontal="center"/>
    </xf>
    <xf numFmtId="0" fontId="0" fillId="0" borderId="9" xfId="0" applyBorder="1" applyAlignment="1">
      <alignment horizontal="left"/>
    </xf>
    <xf numFmtId="0" fontId="0" fillId="0" borderId="10" xfId="0" applyBorder="1" applyAlignment="1">
      <alignment horizontal="center"/>
    </xf>
    <xf numFmtId="0" fontId="0" fillId="0" borderId="11" xfId="0" applyBorder="1" applyAlignment="1">
      <alignment horizontal="center"/>
    </xf>
    <xf numFmtId="0" fontId="0" fillId="0" borderId="11" xfId="0" applyFill="1" applyBorder="1" applyAlignment="1">
      <alignment horizontal="center"/>
    </xf>
    <xf numFmtId="0" fontId="1" fillId="2" borderId="2" xfId="0" applyFont="1" applyFill="1" applyBorder="1" applyAlignment="1">
      <alignment horizontal="center"/>
    </xf>
    <xf numFmtId="0" fontId="0" fillId="0" borderId="1" xfId="0" applyFont="1" applyBorder="1" applyAlignment="1">
      <alignment horizontal="center"/>
    </xf>
    <xf numFmtId="3" fontId="0" fillId="0" borderId="1" xfId="0" applyNumberFormat="1" applyFont="1" applyBorder="1" applyAlignment="1">
      <alignment horizontal="center"/>
    </xf>
    <xf numFmtId="165" fontId="0" fillId="0" borderId="1" xfId="0" applyNumberFormat="1" applyFont="1" applyBorder="1" applyAlignment="1">
      <alignment horizontal="center"/>
    </xf>
    <xf numFmtId="2" fontId="0" fillId="0" borderId="1" xfId="0" applyNumberFormat="1" applyFont="1" applyBorder="1" applyAlignment="1">
      <alignment horizontal="center"/>
    </xf>
    <xf numFmtId="1" fontId="0" fillId="0" borderId="1" xfId="0" applyNumberFormat="1" applyFont="1" applyBorder="1" applyAlignment="1">
      <alignment horizontal="center"/>
    </xf>
    <xf numFmtId="2" fontId="0" fillId="0" borderId="1" xfId="0" applyNumberFormat="1" applyFont="1" applyFill="1" applyBorder="1" applyAlignment="1">
      <alignment horizontal="center"/>
    </xf>
    <xf numFmtId="1" fontId="0" fillId="0" borderId="1" xfId="0" applyNumberFormat="1" applyFont="1" applyFill="1" applyBorder="1" applyAlignment="1">
      <alignment horizontal="center"/>
    </xf>
    <xf numFmtId="9" fontId="0" fillId="0" borderId="1" xfId="0" applyNumberFormat="1" applyFont="1" applyFill="1" applyBorder="1" applyAlignment="1">
      <alignment horizontal="center"/>
    </xf>
    <xf numFmtId="164" fontId="0" fillId="0" borderId="1" xfId="0" applyNumberFormat="1" applyFont="1" applyBorder="1" applyAlignment="1">
      <alignment horizontal="center"/>
    </xf>
    <xf numFmtId="0" fontId="0" fillId="0" borderId="1" xfId="0" applyFont="1" applyBorder="1" applyAlignment="1">
      <alignment horizontal="left"/>
    </xf>
    <xf numFmtId="0" fontId="0" fillId="4" borderId="0" xfId="0" applyFill="1" applyAlignment="1">
      <alignment horizontal="center"/>
    </xf>
    <xf numFmtId="0" fontId="4" fillId="0" borderId="0" xfId="0" applyFont="1" applyBorder="1" applyAlignment="1">
      <alignment horizontal="center"/>
    </xf>
    <xf numFmtId="165" fontId="4" fillId="0" borderId="0" xfId="0" applyNumberFormat="1" applyFont="1" applyBorder="1" applyAlignment="1">
      <alignment horizontal="center"/>
    </xf>
    <xf numFmtId="1" fontId="5" fillId="0" borderId="0" xfId="0" applyNumberFormat="1" applyFont="1" applyBorder="1" applyAlignment="1">
      <alignment horizontal="center"/>
    </xf>
    <xf numFmtId="9" fontId="5" fillId="0" borderId="0" xfId="0" applyNumberFormat="1" applyFont="1" applyFill="1" applyBorder="1" applyAlignment="1">
      <alignment horizontal="center"/>
    </xf>
    <xf numFmtId="165" fontId="0" fillId="0" borderId="1" xfId="0" applyNumberFormat="1" applyFont="1" applyFill="1" applyBorder="1" applyAlignment="1">
      <alignment horizontal="center"/>
    </xf>
    <xf numFmtId="165" fontId="0" fillId="4" borderId="0" xfId="0" applyNumberFormat="1" applyFill="1" applyAlignment="1">
      <alignment horizontal="center"/>
    </xf>
    <xf numFmtId="2" fontId="0" fillId="5" borderId="1" xfId="0" applyNumberFormat="1" applyFill="1" applyBorder="1" applyAlignment="1">
      <alignment horizontal="center"/>
    </xf>
    <xf numFmtId="0" fontId="0" fillId="5" borderId="1" xfId="0" applyFill="1" applyBorder="1" applyAlignment="1">
      <alignment horizontal="center"/>
    </xf>
    <xf numFmtId="166" fontId="0" fillId="0" borderId="0" xfId="0" applyNumberFormat="1"/>
    <xf numFmtId="166" fontId="1" fillId="0" borderId="0" xfId="0" applyNumberFormat="1" applyFont="1"/>
    <xf numFmtId="166" fontId="0" fillId="0" borderId="0" xfId="0" applyNumberFormat="1" applyAlignment="1">
      <alignment horizontal="left"/>
    </xf>
    <xf numFmtId="165" fontId="1" fillId="3" borderId="0" xfId="0" applyNumberFormat="1" applyFont="1" applyFill="1" applyBorder="1" applyAlignment="1">
      <alignment horizontal="center"/>
    </xf>
    <xf numFmtId="165" fontId="0" fillId="3" borderId="0" xfId="0" applyNumberFormat="1" applyFill="1" applyBorder="1" applyAlignment="1">
      <alignment horizontal="center"/>
    </xf>
    <xf numFmtId="165" fontId="0" fillId="3" borderId="1" xfId="0" applyNumberFormat="1" applyFill="1" applyBorder="1" applyAlignment="1">
      <alignment horizontal="center"/>
    </xf>
    <xf numFmtId="165" fontId="0" fillId="3" borderId="2" xfId="0" applyNumberFormat="1" applyFill="1" applyBorder="1" applyAlignment="1">
      <alignment horizontal="center"/>
    </xf>
    <xf numFmtId="165" fontId="0" fillId="3" borderId="1" xfId="0" applyNumberFormat="1" applyFont="1" applyFill="1" applyBorder="1" applyAlignment="1">
      <alignment horizontal="center"/>
    </xf>
    <xf numFmtId="166" fontId="4" fillId="0" borderId="0" xfId="0" applyNumberFormat="1" applyFont="1"/>
    <xf numFmtId="166" fontId="6" fillId="0" borderId="0" xfId="0" applyNumberFormat="1" applyFont="1" applyFill="1" applyAlignment="1">
      <alignment horizontal="center"/>
    </xf>
    <xf numFmtId="166" fontId="1" fillId="0" borderId="0" xfId="0" applyNumberFormat="1" applyFont="1" applyAlignment="1">
      <alignment horizontal="right"/>
    </xf>
    <xf numFmtId="166" fontId="0" fillId="0" borderId="4" xfId="0" applyNumberFormat="1" applyBorder="1" applyAlignment="1">
      <alignment horizontal="left"/>
    </xf>
    <xf numFmtId="0" fontId="0" fillId="0" borderId="5" xfId="0" applyBorder="1" applyAlignment="1">
      <alignment horizontal="left"/>
    </xf>
    <xf numFmtId="166" fontId="0" fillId="0" borderId="0" xfId="0" applyNumberFormat="1" applyBorder="1" applyAlignment="1">
      <alignment horizontal="left"/>
    </xf>
    <xf numFmtId="165" fontId="3" fillId="0" borderId="0" xfId="0" applyNumberFormat="1" applyFont="1" applyAlignment="1">
      <alignment horizontal="center"/>
    </xf>
    <xf numFmtId="2" fontId="0" fillId="0" borderId="0" xfId="0" applyNumberFormat="1" applyAlignment="1">
      <alignment horizontal="right"/>
    </xf>
    <xf numFmtId="2" fontId="0" fillId="0" borderId="4" xfId="0" applyNumberFormat="1" applyBorder="1" applyAlignment="1">
      <alignment horizontal="right"/>
    </xf>
    <xf numFmtId="2" fontId="0" fillId="0" borderId="0" xfId="0" applyNumberFormat="1" applyFill="1" applyBorder="1" applyAlignment="1">
      <alignment horizontal="right"/>
    </xf>
    <xf numFmtId="2" fontId="1" fillId="2" borderId="0" xfId="0" applyNumberFormat="1" applyFont="1" applyFill="1" applyBorder="1" applyAlignment="1">
      <alignment horizontal="right"/>
    </xf>
    <xf numFmtId="2" fontId="0" fillId="0" borderId="0" xfId="0" applyNumberFormat="1" applyBorder="1" applyAlignment="1">
      <alignment horizontal="right"/>
    </xf>
    <xf numFmtId="2" fontId="0" fillId="0" borderId="1" xfId="0" applyNumberFormat="1" applyBorder="1" applyAlignment="1">
      <alignment horizontal="right"/>
    </xf>
    <xf numFmtId="2" fontId="0" fillId="0" borderId="2" xfId="0" applyNumberFormat="1" applyBorder="1" applyAlignment="1">
      <alignment horizontal="right"/>
    </xf>
    <xf numFmtId="2" fontId="0" fillId="0" borderId="1" xfId="0" applyNumberFormat="1" applyFont="1" applyBorder="1" applyAlignment="1">
      <alignment horizontal="right"/>
    </xf>
    <xf numFmtId="2" fontId="0" fillId="0" borderId="9" xfId="0" applyNumberFormat="1" applyBorder="1" applyAlignment="1">
      <alignment horizontal="right"/>
    </xf>
    <xf numFmtId="2" fontId="3" fillId="0" borderId="0" xfId="0" applyNumberFormat="1" applyFont="1" applyAlignment="1">
      <alignment horizontal="left"/>
    </xf>
    <xf numFmtId="166" fontId="0" fillId="0" borderId="9" xfId="0" applyNumberFormat="1" applyBorder="1"/>
    <xf numFmtId="0" fontId="0" fillId="0" borderId="10" xfId="0" applyBorder="1"/>
    <xf numFmtId="167" fontId="0" fillId="0" borderId="3" xfId="0" applyNumberFormat="1" applyBorder="1" applyAlignment="1">
      <alignment horizontal="right"/>
    </xf>
    <xf numFmtId="167" fontId="0" fillId="0" borderId="6" xfId="0" applyNumberFormat="1" applyBorder="1" applyAlignment="1">
      <alignment horizontal="right"/>
    </xf>
    <xf numFmtId="167" fontId="0" fillId="0" borderId="8" xfId="0" applyNumberFormat="1" applyBorder="1" applyAlignment="1">
      <alignment horizontal="right"/>
    </xf>
    <xf numFmtId="0" fontId="7" fillId="0" borderId="0" xfId="1" applyBorder="1" applyAlignment="1">
      <alignment horizontal="left"/>
    </xf>
    <xf numFmtId="3" fontId="8" fillId="0" borderId="0" xfId="0" applyNumberFormat="1" applyFont="1"/>
    <xf numFmtId="165" fontId="1" fillId="0" borderId="0" xfId="0" applyNumberFormat="1" applyFont="1" applyAlignment="1">
      <alignment horizontal="center"/>
    </xf>
    <xf numFmtId="165" fontId="0" fillId="6" borderId="0" xfId="0" applyNumberFormat="1" applyFill="1" applyBorder="1" applyAlignment="1">
      <alignment horizontal="center"/>
    </xf>
    <xf numFmtId="0" fontId="9" fillId="0" borderId="0" xfId="1" applyFont="1" applyBorder="1" applyAlignment="1">
      <alignment horizontal="left"/>
    </xf>
    <xf numFmtId="165" fontId="0" fillId="6" borderId="1" xfId="0" applyNumberFormat="1" applyFont="1" applyFill="1" applyBorder="1" applyAlignment="1">
      <alignment horizontal="center"/>
    </xf>
    <xf numFmtId="0" fontId="0" fillId="6" borderId="1" xfId="0" applyFont="1" applyFill="1" applyBorder="1" applyAlignment="1">
      <alignment horizontal="center"/>
    </xf>
    <xf numFmtId="3" fontId="0" fillId="6" borderId="0" xfId="0" applyNumberFormat="1" applyFill="1" applyBorder="1" applyAlignment="1">
      <alignment horizontal="center"/>
    </xf>
  </cellXfs>
  <cellStyles count="2">
    <cellStyle name="Hyperlink" xfId="1" builtinId="8"/>
    <cellStyle name="Normal" xfId="0" builtinId="0"/>
  </cellStyles>
  <dxfs count="162">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patternType="none">
          <bgColor auto="1"/>
        </patternFill>
      </fill>
    </dxf>
    <dxf>
      <font>
        <color rgb="FF006100"/>
      </font>
      <fill>
        <patternFill patternType="none">
          <bgColor auto="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patternType="none">
          <bgColor auto="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patternType="none">
          <bgColor auto="1"/>
        </patternFill>
      </fill>
    </dxf>
    <dxf>
      <font>
        <color rgb="FF006100"/>
      </font>
      <fill>
        <patternFill patternType="none">
          <bgColor auto="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patternType="none">
          <bgColor auto="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patternType="none">
          <bgColor auto="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patternType="none">
          <bgColor auto="1"/>
        </patternFill>
      </fill>
    </dxf>
    <dxf>
      <font>
        <color rgb="FF006100"/>
      </font>
      <fill>
        <patternFill patternType="none">
          <bgColor auto="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patternType="none">
          <bgColor auto="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patternType="none">
          <bgColor auto="1"/>
        </patternFill>
      </fill>
    </dxf>
    <dxf>
      <font>
        <color rgb="FF006100"/>
      </font>
      <fill>
        <patternFill patternType="none">
          <bgColor auto="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patternType="none">
          <bgColor auto="1"/>
        </patternFill>
      </fill>
    </dxf>
    <dxf>
      <font>
        <color rgb="FF006100"/>
      </font>
      <fill>
        <patternFill patternType="none">
          <bgColor auto="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patternType="none">
          <bgColor auto="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patternType="none">
          <bgColor auto="1"/>
        </patternFill>
      </fill>
    </dxf>
    <dxf>
      <font>
        <color rgb="FF006100"/>
      </font>
      <fill>
        <patternFill patternType="none">
          <bgColor auto="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patternType="none">
          <bgColor auto="1"/>
        </patternFill>
      </fill>
    </dxf>
  </dxfs>
  <tableStyles count="0" defaultTableStyle="TableStyleMedium9" defaultPivotStyle="PivotStyleMedium7"/>
  <colors>
    <mruColors>
      <color rgb="FFFFB0B0"/>
      <color rgb="FFC4B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ngccoin.com/coin-explorer/morgan-dollars-1878-1921-pscid-49/1890-s1-ms-coinid-17196" TargetMode="External"/><Relationship Id="rId13" Type="http://schemas.openxmlformats.org/officeDocument/2006/relationships/hyperlink" Target="https://www.ngccoin.com/price-guide/world/sealand-10-dollars-x-1-1972-cuid-1102761-duid-1561997" TargetMode="External"/><Relationship Id="rId3" Type="http://schemas.openxmlformats.org/officeDocument/2006/relationships/hyperlink" Target="https://www.ngccoin.com/price-guide/world/japan-20-sen-y-24-yr.101877-yr.91876-cuid-1132168-duid-1449724" TargetMode="External"/><Relationship Id="rId7" Type="http://schemas.openxmlformats.org/officeDocument/2006/relationships/hyperlink" Target="https://www.ngccoin.com/coin-explorer/peace-dollars-pscid-50/1922-low-relief-s1-pf-coinid-17383" TargetMode="External"/><Relationship Id="rId12" Type="http://schemas.openxmlformats.org/officeDocument/2006/relationships/hyperlink" Target="https://www.ngccoin.com/price-guide/chinese-coin-prices-detail.aspx?lang=en-US&amp;ChineseSetID=619" TargetMode="External"/><Relationship Id="rId2" Type="http://schemas.openxmlformats.org/officeDocument/2006/relationships/hyperlink" Target="https://www.ngccoin.com/price-guide/world/japan-10-sen-y-23-yr.101877-yr.91876-cuid-1131918-duid-1450038" TargetMode="External"/><Relationship Id="rId1" Type="http://schemas.openxmlformats.org/officeDocument/2006/relationships/hyperlink" Target="https://www.ngccoin.com/price-guide/world/japan-50-sen-y-31-yr.391906-yr.451912-cuid-1132851-duid-1443300" TargetMode="External"/><Relationship Id="rId6" Type="http://schemas.openxmlformats.org/officeDocument/2006/relationships/hyperlink" Target="https://www.ngccoin.com/coin-explorer/gold-eagles-5-1986-date-pscid-189/2014-eagle-g5-ms-coinid-710777" TargetMode="External"/><Relationship Id="rId11" Type="http://schemas.openxmlformats.org/officeDocument/2006/relationships/hyperlink" Target="https://www.ngccoin.com/price-guide/world/japan-yen-y-a25.3-yr.191886-yr.451912-cuid-1132852-duid-1466292" TargetMode="External"/><Relationship Id="rId5" Type="http://schemas.openxmlformats.org/officeDocument/2006/relationships/hyperlink" Target="https://www.ngccoin.com/price-guide/world/japan-50-sen-y-46-yr.111922-yr.151926-cuid-1202589-duid-1442593" TargetMode="External"/><Relationship Id="rId15" Type="http://schemas.openxmlformats.org/officeDocument/2006/relationships/hyperlink" Target="https://www.ngccoin.com/price-guide/world/japan-yen-y-9-yr.41871-cuid-1168896-duid-1449727" TargetMode="External"/><Relationship Id="rId10" Type="http://schemas.openxmlformats.org/officeDocument/2006/relationships/hyperlink" Target="https://www.ngccoin.com/price-guide/world/japan-yen-y-a25.3-yr.191886-yr.451912-cuid-1132852-duid-1466292" TargetMode="External"/><Relationship Id="rId4" Type="http://schemas.openxmlformats.org/officeDocument/2006/relationships/hyperlink" Target="https://www.ngccoin.com/price-guide/world/japan-20-sen-y-3-yr.31870-yr.41871-cuid-1168895-duid-1451434" TargetMode="External"/><Relationship Id="rId9" Type="http://schemas.openxmlformats.org/officeDocument/2006/relationships/hyperlink" Target="https://www.ngccoin.com/price-guide/world/japan-yen-y-a25.3-yr.191886-yr.451912-cuid-1132852-duid-1466292" TargetMode="External"/><Relationship Id="rId14" Type="http://schemas.openxmlformats.org/officeDocument/2006/relationships/hyperlink" Target="https://www.ngccoin.com/price-guide/world/australia-100-dollars-km-121-1989-1990-cuid-1068316-duid-121789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F56"/>
  <sheetViews>
    <sheetView tabSelected="1" showRuler="0" workbookViewId="0">
      <selection activeCell="E41" sqref="E41"/>
    </sheetView>
  </sheetViews>
  <sheetFormatPr baseColWidth="10" defaultRowHeight="16" x14ac:dyDescent="0.2"/>
  <cols>
    <col min="1" max="1" width="1.83203125" style="3" customWidth="1"/>
    <col min="2" max="2" width="1.83203125" style="13" customWidth="1"/>
    <col min="3" max="3" width="10.83203125" style="3" customWidth="1"/>
    <col min="4" max="4" width="7.83203125" style="3" customWidth="1"/>
    <col min="5" max="5" width="12.83203125" style="3" customWidth="1"/>
    <col min="6" max="6" width="13.5" style="3" customWidth="1"/>
    <col min="7" max="7" width="19.1640625" style="3" customWidth="1"/>
    <col min="8" max="8" width="4.83203125" style="3" customWidth="1"/>
    <col min="9" max="9" width="11.83203125" style="12" customWidth="1"/>
    <col min="10" max="10" width="6.83203125" style="12" customWidth="1"/>
    <col min="11" max="11" width="1.83203125" style="32" customWidth="1"/>
    <col min="12" max="14" width="9.33203125" style="3" customWidth="1"/>
    <col min="15" max="15" width="9.33203125" style="10" customWidth="1"/>
    <col min="16" max="16" width="1.83203125" style="13" customWidth="1"/>
    <col min="17" max="17" width="8.83203125" style="4" customWidth="1"/>
    <col min="18" max="18" width="1.83203125" style="33" customWidth="1"/>
    <col min="19" max="19" width="8.83203125" style="4" customWidth="1"/>
    <col min="20" max="20" width="8.33203125" style="4" customWidth="1"/>
    <col min="21" max="21" width="9.5" style="4" customWidth="1"/>
    <col min="22" max="23" width="7.83203125" style="10" customWidth="1"/>
    <col min="24" max="24" width="1.83203125" style="13" customWidth="1"/>
    <col min="25" max="25" width="9.33203125" style="143" customWidth="1"/>
    <col min="26" max="26" width="11" style="5" customWidth="1"/>
    <col min="27" max="27" width="1.83203125" style="13" customWidth="1"/>
    <col min="28" max="28" width="6.83203125" style="3" customWidth="1"/>
    <col min="29" max="29" width="7.83203125" style="5" customWidth="1"/>
    <col min="30" max="30" width="7.33203125" style="5" customWidth="1"/>
    <col min="31" max="31" width="1.83203125" style="32" customWidth="1"/>
    <col min="32" max="33" width="9" style="6" customWidth="1"/>
    <col min="34" max="34" width="7.5" style="6" customWidth="1"/>
    <col min="35" max="35" width="1.83203125" style="32" customWidth="1"/>
    <col min="36" max="36" width="11.5" style="10" customWidth="1"/>
    <col min="37" max="37" width="10.5" style="4" customWidth="1"/>
    <col min="38" max="38" width="5.83203125" style="6" customWidth="1"/>
    <col min="39" max="39" width="1.83203125" style="32" customWidth="1"/>
    <col min="40" max="40" width="10.83203125" style="10" customWidth="1"/>
    <col min="41" max="41" width="6.6640625" style="6" customWidth="1"/>
    <col min="42" max="42" width="1.83203125" style="32" customWidth="1"/>
    <col min="43" max="43" width="10.83203125" style="10" customWidth="1"/>
    <col min="44" max="44" width="6.6640625" style="6" customWidth="1"/>
    <col min="45" max="45" width="1.83203125" style="32" customWidth="1"/>
    <col min="46" max="46" width="10.83203125" style="143" customWidth="1"/>
    <col min="47" max="47" width="7" style="6" customWidth="1"/>
    <col min="48" max="48" width="1.83203125" style="32" customWidth="1"/>
    <col min="49" max="49" width="10" style="4" customWidth="1"/>
    <col min="50" max="50" width="7.5" style="6" customWidth="1"/>
    <col min="51" max="51" width="1.83203125" style="32" customWidth="1"/>
    <col min="52" max="52" width="8.83203125" style="7" customWidth="1"/>
    <col min="53" max="54" width="8.83203125" style="3" customWidth="1"/>
    <col min="55" max="55" width="1.83203125" style="32" customWidth="1"/>
    <col min="56" max="56" width="5.6640625" style="2" customWidth="1"/>
    <col min="57" max="57" width="56" style="2" customWidth="1"/>
    <col min="58" max="58" width="1.83203125" style="3" customWidth="1"/>
    <col min="59" max="16384" width="10.83203125" style="3"/>
  </cols>
  <sheetData>
    <row r="1" spans="2:58" ht="11" customHeight="1" thickBot="1" x14ac:dyDescent="0.25">
      <c r="AJ1" s="53"/>
    </row>
    <row r="2" spans="2:58" ht="11" customHeight="1" x14ac:dyDescent="0.2">
      <c r="B2" s="75"/>
      <c r="C2" s="76"/>
      <c r="D2" s="76"/>
      <c r="E2" s="76"/>
      <c r="F2" s="76"/>
      <c r="G2" s="76"/>
      <c r="H2" s="76"/>
      <c r="I2" s="77"/>
      <c r="J2" s="77"/>
      <c r="K2" s="78"/>
      <c r="L2" s="76"/>
      <c r="M2" s="76"/>
      <c r="N2" s="76"/>
      <c r="O2" s="79"/>
      <c r="P2" s="83"/>
      <c r="Q2" s="80"/>
      <c r="R2" s="82"/>
      <c r="S2" s="80"/>
      <c r="T2" s="80"/>
      <c r="U2" s="80"/>
      <c r="V2" s="79"/>
      <c r="W2" s="79"/>
      <c r="X2" s="83"/>
      <c r="Y2" s="144"/>
      <c r="Z2" s="81"/>
      <c r="AA2" s="83"/>
      <c r="AB2" s="76"/>
      <c r="AC2" s="81"/>
      <c r="AD2" s="81"/>
      <c r="AE2" s="78"/>
      <c r="AF2" s="84"/>
      <c r="AG2" s="84"/>
      <c r="AH2" s="84"/>
      <c r="AI2" s="78"/>
      <c r="AJ2" s="84"/>
      <c r="AK2" s="80"/>
      <c r="AL2" s="84"/>
      <c r="AM2" s="78"/>
      <c r="AN2" s="79"/>
      <c r="AO2" s="84"/>
      <c r="AP2" s="78"/>
      <c r="AQ2" s="79"/>
      <c r="AR2" s="84"/>
      <c r="AS2" s="78"/>
      <c r="AT2" s="144"/>
      <c r="AU2" s="84"/>
      <c r="AV2" s="78"/>
      <c r="AW2" s="80"/>
      <c r="AX2" s="84"/>
      <c r="AY2" s="78"/>
      <c r="AZ2" s="85"/>
      <c r="BA2" s="76"/>
      <c r="BB2" s="76"/>
      <c r="BC2" s="78"/>
      <c r="BD2" s="86"/>
      <c r="BE2" s="86"/>
      <c r="BF2" s="87"/>
    </row>
    <row r="3" spans="2:58" s="43" customFormat="1" x14ac:dyDescent="0.2">
      <c r="B3" s="88"/>
      <c r="F3" s="120" t="s">
        <v>148</v>
      </c>
      <c r="I3" s="44"/>
      <c r="J3" s="44"/>
      <c r="K3" s="72"/>
      <c r="M3" s="121" t="s">
        <v>185</v>
      </c>
      <c r="N3" s="121"/>
      <c r="P3" s="72"/>
      <c r="Q3" s="121" t="s">
        <v>111</v>
      </c>
      <c r="R3" s="72"/>
      <c r="S3" s="47"/>
      <c r="T3" s="47"/>
      <c r="U3" s="50"/>
      <c r="V3" s="50" t="s">
        <v>215</v>
      </c>
      <c r="W3" s="46"/>
      <c r="X3" s="147"/>
      <c r="Y3" s="147"/>
      <c r="Z3" s="48"/>
      <c r="AA3" s="72"/>
      <c r="AC3" s="122" t="s">
        <v>181</v>
      </c>
      <c r="AD3" s="48"/>
      <c r="AE3" s="72"/>
      <c r="AF3" s="51"/>
      <c r="AG3" s="51"/>
      <c r="AH3" s="51"/>
      <c r="AI3" s="45"/>
      <c r="AJ3" s="10"/>
      <c r="AK3" s="52"/>
      <c r="AL3" s="51"/>
      <c r="AM3" s="45"/>
      <c r="AN3" s="49"/>
      <c r="AO3" s="123" t="s">
        <v>149</v>
      </c>
      <c r="AP3" s="45"/>
      <c r="AQ3" s="49"/>
      <c r="AR3" s="123"/>
      <c r="AS3" s="45"/>
      <c r="AT3" s="145"/>
      <c r="AU3" s="51"/>
      <c r="AV3" s="45"/>
      <c r="AW3" s="52"/>
      <c r="AX3" s="53"/>
      <c r="AY3" s="72"/>
      <c r="AZ3" s="54"/>
      <c r="BB3" s="123" t="s">
        <v>106</v>
      </c>
      <c r="BC3" s="45"/>
      <c r="BD3" s="55"/>
      <c r="BE3" s="55"/>
      <c r="BF3" s="89"/>
    </row>
    <row r="4" spans="2:58" s="56" customFormat="1" x14ac:dyDescent="0.2">
      <c r="B4" s="90"/>
      <c r="C4" s="43"/>
      <c r="D4" s="57"/>
      <c r="I4" s="58"/>
      <c r="J4" s="58"/>
      <c r="K4" s="72"/>
      <c r="O4" s="59"/>
      <c r="P4" s="72"/>
      <c r="Q4" s="121"/>
      <c r="R4" s="72"/>
      <c r="S4" s="47"/>
      <c r="T4" s="47"/>
      <c r="U4" s="50"/>
      <c r="V4" s="50"/>
      <c r="W4" s="46"/>
      <c r="X4" s="147"/>
      <c r="Y4" s="147"/>
      <c r="Z4" s="60"/>
      <c r="AA4" s="72"/>
      <c r="AB4" s="43"/>
      <c r="AC4" s="122" t="s">
        <v>170</v>
      </c>
      <c r="AD4" s="48"/>
      <c r="AE4" s="72"/>
      <c r="AF4" s="51"/>
      <c r="AG4" s="51"/>
      <c r="AH4" s="51"/>
      <c r="AI4" s="45"/>
      <c r="AJ4" s="10"/>
      <c r="AK4" s="52"/>
      <c r="AL4" s="51"/>
      <c r="AM4" s="45"/>
      <c r="AN4" s="49"/>
      <c r="AO4" s="123" t="s">
        <v>105</v>
      </c>
      <c r="AP4" s="45"/>
      <c r="AQ4" s="49"/>
      <c r="AR4" s="123"/>
      <c r="AS4" s="45"/>
      <c r="AT4" s="145"/>
      <c r="AU4" s="51"/>
      <c r="AV4" s="45"/>
      <c r="AW4" s="52"/>
      <c r="AX4" s="53"/>
      <c r="AY4" s="72"/>
      <c r="AZ4" s="61"/>
      <c r="BC4" s="45"/>
      <c r="BF4" s="91"/>
    </row>
    <row r="5" spans="2:58" s="55" customFormat="1" x14ac:dyDescent="0.2">
      <c r="B5" s="90"/>
      <c r="C5" s="57"/>
      <c r="D5" s="56"/>
      <c r="E5" s="56"/>
      <c r="I5" s="62"/>
      <c r="J5" s="62"/>
      <c r="K5" s="72"/>
      <c r="L5" s="64" t="s">
        <v>97</v>
      </c>
      <c r="M5" s="64" t="s">
        <v>97</v>
      </c>
      <c r="N5" s="64" t="s">
        <v>97</v>
      </c>
      <c r="O5" s="64" t="s">
        <v>97</v>
      </c>
      <c r="P5" s="72"/>
      <c r="Q5" s="64" t="s">
        <v>97</v>
      </c>
      <c r="R5" s="72"/>
      <c r="S5" s="64" t="s">
        <v>31</v>
      </c>
      <c r="T5" s="64"/>
      <c r="U5" s="64"/>
      <c r="V5" s="131" t="s">
        <v>11</v>
      </c>
      <c r="W5" s="71" t="s">
        <v>22</v>
      </c>
      <c r="X5" s="72"/>
      <c r="Y5" s="64" t="s">
        <v>97</v>
      </c>
      <c r="Z5" s="65" t="s">
        <v>97</v>
      </c>
      <c r="AA5" s="72"/>
      <c r="AB5" s="65" t="s">
        <v>49</v>
      </c>
      <c r="AC5" s="65" t="s">
        <v>49</v>
      </c>
      <c r="AD5" s="65" t="s">
        <v>49</v>
      </c>
      <c r="AE5" s="72"/>
      <c r="AF5" s="64"/>
      <c r="AG5" s="64"/>
      <c r="AH5" s="64"/>
      <c r="AI5" s="63"/>
      <c r="AJ5" s="160" t="s">
        <v>217</v>
      </c>
      <c r="AK5" s="64"/>
      <c r="AL5" s="66"/>
      <c r="AM5" s="63"/>
      <c r="AN5" s="64"/>
      <c r="AO5" s="69"/>
      <c r="AP5" s="63"/>
      <c r="AQ5" s="64"/>
      <c r="AR5" s="66"/>
      <c r="AS5" s="63"/>
      <c r="AT5" s="64" t="s">
        <v>49</v>
      </c>
      <c r="AU5" s="66"/>
      <c r="AV5" s="63"/>
      <c r="AW5" s="64" t="s">
        <v>49</v>
      </c>
      <c r="AX5" s="66"/>
      <c r="AY5" s="72"/>
      <c r="AZ5" s="67" t="s">
        <v>28</v>
      </c>
      <c r="BA5" s="67" t="s">
        <v>28</v>
      </c>
      <c r="BB5" s="67" t="s">
        <v>28</v>
      </c>
      <c r="BC5" s="63"/>
      <c r="BD5" s="69" t="s">
        <v>201</v>
      </c>
      <c r="BE5" s="68" t="s">
        <v>106</v>
      </c>
      <c r="BF5" s="92"/>
    </row>
    <row r="6" spans="2:58" s="43" customFormat="1" x14ac:dyDescent="0.2">
      <c r="B6" s="88"/>
      <c r="C6" s="69"/>
      <c r="D6" s="69"/>
      <c r="E6" s="69"/>
      <c r="F6" s="69" t="s">
        <v>66</v>
      </c>
      <c r="G6" s="69"/>
      <c r="H6" s="69"/>
      <c r="I6" s="70"/>
      <c r="J6" s="70"/>
      <c r="K6" s="72"/>
      <c r="L6" s="69" t="s">
        <v>8</v>
      </c>
      <c r="M6" s="69" t="s">
        <v>8</v>
      </c>
      <c r="N6" s="69" t="s">
        <v>8</v>
      </c>
      <c r="O6" s="71" t="s">
        <v>8</v>
      </c>
      <c r="P6" s="72"/>
      <c r="Q6" s="64" t="s">
        <v>107</v>
      </c>
      <c r="R6" s="72"/>
      <c r="S6" s="64" t="s">
        <v>8</v>
      </c>
      <c r="T6" s="64" t="s">
        <v>107</v>
      </c>
      <c r="U6" s="64" t="s">
        <v>108</v>
      </c>
      <c r="V6" s="131" t="s">
        <v>32</v>
      </c>
      <c r="W6" s="71" t="s">
        <v>8</v>
      </c>
      <c r="X6" s="72"/>
      <c r="Y6" s="64" t="s">
        <v>192</v>
      </c>
      <c r="Z6" s="65" t="s">
        <v>14</v>
      </c>
      <c r="AA6" s="72"/>
      <c r="AB6" s="69" t="s">
        <v>50</v>
      </c>
      <c r="AC6" s="65" t="s">
        <v>13</v>
      </c>
      <c r="AD6" s="65" t="s">
        <v>14</v>
      </c>
      <c r="AE6" s="72"/>
      <c r="AF6" s="66" t="s">
        <v>107</v>
      </c>
      <c r="AG6" s="64" t="s">
        <v>194</v>
      </c>
      <c r="AH6" s="66" t="s">
        <v>14</v>
      </c>
      <c r="AI6" s="63"/>
      <c r="AJ6" s="160" t="s">
        <v>219</v>
      </c>
      <c r="AK6" s="64" t="s">
        <v>220</v>
      </c>
      <c r="AL6" s="66" t="s">
        <v>200</v>
      </c>
      <c r="AM6" s="63"/>
      <c r="AN6" s="71" t="s">
        <v>221</v>
      </c>
      <c r="AO6" s="66" t="s">
        <v>224</v>
      </c>
      <c r="AP6" s="63"/>
      <c r="AQ6" s="71" t="s">
        <v>221</v>
      </c>
      <c r="AR6" s="66" t="s">
        <v>104</v>
      </c>
      <c r="AS6" s="63"/>
      <c r="AT6" s="64" t="s">
        <v>192</v>
      </c>
      <c r="AU6" s="64" t="s">
        <v>192</v>
      </c>
      <c r="AV6" s="63"/>
      <c r="AW6" s="64" t="s">
        <v>192</v>
      </c>
      <c r="AX6" s="64" t="s">
        <v>192</v>
      </c>
      <c r="AY6" s="72"/>
      <c r="AZ6" s="67" t="s">
        <v>18</v>
      </c>
      <c r="BA6" s="69" t="s">
        <v>21</v>
      </c>
      <c r="BB6" s="69" t="s">
        <v>23</v>
      </c>
      <c r="BC6" s="63"/>
      <c r="BD6" s="69" t="s">
        <v>203</v>
      </c>
      <c r="BE6" s="55"/>
      <c r="BF6" s="89"/>
    </row>
    <row r="7" spans="2:58" s="43" customFormat="1" x14ac:dyDescent="0.2">
      <c r="B7" s="88"/>
      <c r="C7" s="69" t="s">
        <v>68</v>
      </c>
      <c r="D7" s="69" t="s">
        <v>67</v>
      </c>
      <c r="E7" s="69" t="s">
        <v>177</v>
      </c>
      <c r="F7" s="69" t="s">
        <v>69</v>
      </c>
      <c r="G7" s="69" t="s">
        <v>65</v>
      </c>
      <c r="H7" s="69" t="s">
        <v>64</v>
      </c>
      <c r="I7" s="70" t="s">
        <v>39</v>
      </c>
      <c r="J7" s="70" t="s">
        <v>59</v>
      </c>
      <c r="K7" s="72"/>
      <c r="L7" s="69" t="s">
        <v>17</v>
      </c>
      <c r="M7" s="71" t="s">
        <v>98</v>
      </c>
      <c r="N7" s="71" t="s">
        <v>183</v>
      </c>
      <c r="O7" s="71" t="s">
        <v>9</v>
      </c>
      <c r="P7" s="72"/>
      <c r="Q7" s="64" t="s">
        <v>10</v>
      </c>
      <c r="R7" s="72"/>
      <c r="S7" s="64" t="s">
        <v>9</v>
      </c>
      <c r="T7" s="64" t="s">
        <v>10</v>
      </c>
      <c r="U7" s="64" t="s">
        <v>10</v>
      </c>
      <c r="V7" s="131" t="s">
        <v>10</v>
      </c>
      <c r="W7" s="71" t="s">
        <v>9</v>
      </c>
      <c r="X7" s="72"/>
      <c r="Y7" s="64" t="s">
        <v>176</v>
      </c>
      <c r="Z7" s="65" t="s">
        <v>193</v>
      </c>
      <c r="AA7" s="72"/>
      <c r="AB7" s="69" t="s">
        <v>10</v>
      </c>
      <c r="AC7" s="65" t="s">
        <v>12</v>
      </c>
      <c r="AD7" s="65" t="s">
        <v>7</v>
      </c>
      <c r="AE7" s="72"/>
      <c r="AF7" s="69" t="s">
        <v>15</v>
      </c>
      <c r="AG7" s="69" t="s">
        <v>15</v>
      </c>
      <c r="AH7" s="69" t="s">
        <v>15</v>
      </c>
      <c r="AI7" s="63"/>
      <c r="AJ7" s="160" t="s">
        <v>218</v>
      </c>
      <c r="AK7" s="64" t="s">
        <v>191</v>
      </c>
      <c r="AL7" s="66" t="s">
        <v>15</v>
      </c>
      <c r="AM7" s="63"/>
      <c r="AN7" s="69" t="s">
        <v>216</v>
      </c>
      <c r="AO7" s="66" t="s">
        <v>15</v>
      </c>
      <c r="AP7" s="63"/>
      <c r="AQ7" s="69" t="s">
        <v>213</v>
      </c>
      <c r="AR7" s="66" t="s">
        <v>15</v>
      </c>
      <c r="AS7" s="63"/>
      <c r="AT7" s="64" t="s">
        <v>212</v>
      </c>
      <c r="AU7" s="66" t="s">
        <v>15</v>
      </c>
      <c r="AV7" s="63"/>
      <c r="AW7" s="69" t="s">
        <v>214</v>
      </c>
      <c r="AX7" s="66" t="s">
        <v>15</v>
      </c>
      <c r="AY7" s="72"/>
      <c r="AZ7" s="67" t="s">
        <v>19</v>
      </c>
      <c r="BA7" s="67" t="s">
        <v>19</v>
      </c>
      <c r="BB7" s="67" t="s">
        <v>19</v>
      </c>
      <c r="BC7" s="63"/>
      <c r="BD7" s="69" t="s">
        <v>202</v>
      </c>
      <c r="BE7" s="55"/>
      <c r="BF7" s="89"/>
    </row>
    <row r="8" spans="2:58" s="42" customFormat="1" ht="5" customHeight="1" x14ac:dyDescent="0.2">
      <c r="B8" s="88"/>
      <c r="C8" s="72"/>
      <c r="D8" s="72"/>
      <c r="E8" s="72"/>
      <c r="F8" s="72"/>
      <c r="G8" s="72"/>
      <c r="H8" s="72"/>
      <c r="I8" s="72"/>
      <c r="J8" s="72"/>
      <c r="K8" s="72"/>
      <c r="L8" s="72"/>
      <c r="M8" s="72"/>
      <c r="N8" s="72"/>
      <c r="O8" s="72"/>
      <c r="P8" s="72"/>
      <c r="Q8" s="72"/>
      <c r="R8" s="72"/>
      <c r="S8" s="72"/>
      <c r="T8" s="72"/>
      <c r="U8" s="72"/>
      <c r="V8" s="73"/>
      <c r="W8" s="73"/>
      <c r="X8" s="72"/>
      <c r="Y8" s="146"/>
      <c r="Z8" s="72"/>
      <c r="AA8" s="72"/>
      <c r="AB8" s="72"/>
      <c r="AC8" s="72"/>
      <c r="AD8" s="74"/>
      <c r="AE8" s="72"/>
      <c r="AF8" s="72"/>
      <c r="AG8" s="72"/>
      <c r="AH8" s="72"/>
      <c r="AI8" s="72"/>
      <c r="AJ8" s="72"/>
      <c r="AK8" s="72"/>
      <c r="AL8" s="72"/>
      <c r="AM8" s="72"/>
      <c r="AN8" s="72"/>
      <c r="AO8" s="72"/>
      <c r="AP8" s="72"/>
      <c r="AQ8" s="72"/>
      <c r="AR8" s="72"/>
      <c r="AS8" s="72"/>
      <c r="AT8" s="146"/>
      <c r="AU8" s="72"/>
      <c r="AV8" s="72"/>
      <c r="AW8" s="72"/>
      <c r="AX8" s="72"/>
      <c r="AY8" s="72"/>
      <c r="AZ8" s="72"/>
      <c r="BA8" s="72"/>
      <c r="BB8" s="72"/>
      <c r="BC8" s="72"/>
      <c r="BD8" s="72"/>
      <c r="BE8" s="72"/>
      <c r="BF8" s="107"/>
    </row>
    <row r="9" spans="2:58" s="43" customFormat="1" x14ac:dyDescent="0.2">
      <c r="B9" s="88"/>
      <c r="C9" s="43" t="s">
        <v>40</v>
      </c>
      <c r="D9" s="43">
        <v>2015</v>
      </c>
      <c r="E9" s="43" t="s">
        <v>23</v>
      </c>
      <c r="F9" s="43" t="s">
        <v>41</v>
      </c>
      <c r="G9" s="43" t="s">
        <v>42</v>
      </c>
      <c r="I9" s="44">
        <v>206743</v>
      </c>
      <c r="J9" s="44"/>
      <c r="K9" s="72"/>
      <c r="L9" s="43">
        <v>1</v>
      </c>
      <c r="O9" s="46">
        <f t="shared" ref="O9:O16" si="0">IF(L9&lt;&gt;"",L9*GramsPerTroyOz,IF(M9&lt;&gt;"",M9*GramsPerOz,IF(N9&lt;&gt;"",N9*GramsPerGrain,"")))</f>
        <v>31.103476799999999</v>
      </c>
      <c r="P9" s="72"/>
      <c r="Q9" s="52"/>
      <c r="R9" s="72"/>
      <c r="S9" s="52">
        <v>31.15</v>
      </c>
      <c r="T9" s="47">
        <v>31.98</v>
      </c>
      <c r="U9" s="47">
        <v>2.5299999999999998</v>
      </c>
      <c r="V9" s="132">
        <v>0.26</v>
      </c>
      <c r="W9" s="49">
        <v>1.64</v>
      </c>
      <c r="X9" s="72"/>
      <c r="Y9" s="147">
        <f t="shared" ref="Y9:Y49" si="1">IF(E9="","",VLOOKUP(E9,Metals,5,FALSE))</f>
        <v>19.32</v>
      </c>
      <c r="Z9" s="48">
        <f t="shared" ref="Z9:Z49" si="2">IF(OR(Y9="",O9=""),"",1000*O9/Y9)</f>
        <v>1609.9108074534161</v>
      </c>
      <c r="AA9" s="72"/>
      <c r="AB9" s="43">
        <f t="shared" ref="AB9:AB49" si="3">IF(OR(V9="",U9=0),"",U9-2*V9)</f>
        <v>2.0099999999999998</v>
      </c>
      <c r="AC9" s="48">
        <f t="shared" ref="AC9:AC49" si="4">IF(T9="","",PI()*POWER(T9/2,2))</f>
        <v>803.24272382910374</v>
      </c>
      <c r="AD9" s="48">
        <f t="shared" ref="AD9:AD19" si="5">IF(OR(AC9="",AB9=""),"",AC9*AB9)</f>
        <v>1614.5178748964984</v>
      </c>
      <c r="AE9" s="72"/>
      <c r="AF9" s="51" t="str">
        <f t="shared" ref="AF9:AF14" si="6">IF(OR(T9="",Q9="x",Q9=""),"",1-(T9/Q9))</f>
        <v/>
      </c>
      <c r="AG9" s="51">
        <f t="shared" ref="AG9:AG30" si="7">IF(OR(S9="",O9=""),"",1-(O9/S9))</f>
        <v>1.4935216693419129E-3</v>
      </c>
      <c r="AH9" s="51">
        <f t="shared" ref="AH9:AH49" si="8">IF(OR(Z9="",AD9=""),"",1-(Z9/AD9))</f>
        <v>2.8535252007523271E-3</v>
      </c>
      <c r="AI9" s="45"/>
      <c r="AJ9" s="10">
        <f t="shared" ref="AJ9:AJ34" si="9">IF(OR(U9="",AC9="",Z9=""),"",(U9-(Z9/AC9))/2)</f>
        <v>0.26286779282675621</v>
      </c>
      <c r="AK9" s="47">
        <f t="shared" ref="AK9:AK49" si="10">IF(OR(AD9="",Y9=""),"",AD9*Y9/1000)</f>
        <v>31.192485343000349</v>
      </c>
      <c r="AL9" s="51">
        <f t="shared" ref="AL9:AL49" si="11">IF(OR(AK9="",S9=""),"",1-(S9/AK9))</f>
        <v>1.362037764325974E-3</v>
      </c>
      <c r="AM9" s="45"/>
      <c r="AN9" s="46">
        <f>IF(AD9="","",AD9/1000)</f>
        <v>1.6145178748964983</v>
      </c>
      <c r="AO9" s="51">
        <f t="shared" ref="AO9:AO49" si="12">IF(OR(AN9="",W9=""),"",1-(W9/AN9))</f>
        <v>-1.5783117362596633E-2</v>
      </c>
      <c r="AP9" s="45"/>
      <c r="AQ9" s="46">
        <f t="shared" ref="AQ9:AQ49" si="13">IF(OR(Y9="",S9=""),"",S9/Y9)</f>
        <v>1.61231884057971</v>
      </c>
      <c r="AR9" s="51">
        <f t="shared" ref="AR9:AR49" si="14">IF(OR(AQ9="",W9=""),"",1-(W9/AQ9))</f>
        <v>-1.7168539325842724E-2</v>
      </c>
      <c r="AS9" s="45"/>
      <c r="AT9" s="147">
        <f t="shared" ref="AT9:AT49" si="15">IF(OR(S9="",AD9=""),"",S9/AD9*1000)</f>
        <v>19.293685430393221</v>
      </c>
      <c r="AU9" s="51">
        <f t="shared" ref="AU9:AU49" si="16">IF(OR(AT9="",Y9=""),"",1-(Y9/AT9))</f>
        <v>-1.3638954414239013E-3</v>
      </c>
      <c r="AV9" s="45"/>
      <c r="AW9" s="47">
        <f t="shared" ref="AW9:AW49" si="17">IF(OR(W9="",S9=""),"",S9/W9)</f>
        <v>18.993902439024392</v>
      </c>
      <c r="AX9" s="51">
        <f t="shared" ref="AX9:AX49" si="18">IF(OR(AW9="",Y9=""),"",1-(Y9/AW9))</f>
        <v>-1.7168539325842502E-2</v>
      </c>
      <c r="AY9" s="72"/>
      <c r="AZ9" s="54">
        <f t="shared" ref="AZ9:BB31" si="19">IF($S9="","",VLOOKUP(AZ$6,Metals,7,FALSE)*$S9/GramsPerOz)</f>
        <v>0.17923912688054749</v>
      </c>
      <c r="BA9" s="54">
        <f t="shared" si="19"/>
        <v>18.811180703110949</v>
      </c>
      <c r="BB9" s="54">
        <f t="shared" si="19"/>
        <v>87.90271356593901</v>
      </c>
      <c r="BC9" s="45"/>
      <c r="BD9" s="158" t="s">
        <v>201</v>
      </c>
      <c r="BE9" s="55"/>
      <c r="BF9" s="89"/>
    </row>
    <row r="10" spans="2:58" s="43" customFormat="1" x14ac:dyDescent="0.2">
      <c r="B10" s="88"/>
      <c r="C10" s="43" t="s">
        <v>40</v>
      </c>
      <c r="D10" s="43">
        <v>2017</v>
      </c>
      <c r="E10" s="43" t="s">
        <v>23</v>
      </c>
      <c r="F10" s="43" t="s">
        <v>48</v>
      </c>
      <c r="G10" s="43" t="s">
        <v>42</v>
      </c>
      <c r="I10" s="44">
        <v>200000</v>
      </c>
      <c r="J10" s="44"/>
      <c r="K10" s="72"/>
      <c r="L10" s="43">
        <v>0.1</v>
      </c>
      <c r="O10" s="46">
        <f t="shared" si="0"/>
        <v>3.1103476800000003</v>
      </c>
      <c r="P10" s="72"/>
      <c r="Q10" s="52"/>
      <c r="R10" s="72"/>
      <c r="S10" s="52">
        <v>3.11</v>
      </c>
      <c r="T10" s="47">
        <v>16</v>
      </c>
      <c r="U10" s="47">
        <v>1.1599999999999999</v>
      </c>
      <c r="V10" s="132">
        <v>0.18</v>
      </c>
      <c r="W10" s="49">
        <v>0.16</v>
      </c>
      <c r="X10" s="72"/>
      <c r="Y10" s="147">
        <f t="shared" si="1"/>
        <v>19.32</v>
      </c>
      <c r="Z10" s="48">
        <f t="shared" si="2"/>
        <v>160.99108074534163</v>
      </c>
      <c r="AA10" s="72"/>
      <c r="AB10" s="43">
        <f t="shared" si="3"/>
        <v>0.79999999999999993</v>
      </c>
      <c r="AC10" s="48">
        <f t="shared" si="4"/>
        <v>201.06192982974676</v>
      </c>
      <c r="AD10" s="48">
        <f t="shared" si="5"/>
        <v>160.84954386379741</v>
      </c>
      <c r="AE10" s="72"/>
      <c r="AF10" s="51" t="str">
        <f t="shared" si="6"/>
        <v/>
      </c>
      <c r="AG10" s="51">
        <f t="shared" si="7"/>
        <v>-1.11794212218852E-4</v>
      </c>
      <c r="AH10" s="51">
        <f t="shared" si="8"/>
        <v>-8.7993337217096013E-4</v>
      </c>
      <c r="AI10" s="45"/>
      <c r="AJ10" s="10">
        <f t="shared" si="9"/>
        <v>0.17964802665113161</v>
      </c>
      <c r="AK10" s="47">
        <f t="shared" si="10"/>
        <v>3.1076131874485657</v>
      </c>
      <c r="AL10" s="51">
        <f t="shared" si="11"/>
        <v>-7.680532960390174E-4</v>
      </c>
      <c r="AM10" s="45"/>
      <c r="AN10" s="46">
        <f t="shared" ref="AN10:AN49" si="20">IF(AD10="","",AD10/1000)</f>
        <v>0.16084954386379741</v>
      </c>
      <c r="AO10" s="51">
        <f t="shared" si="12"/>
        <v>5.2816056756540553E-3</v>
      </c>
      <c r="AP10" s="45"/>
      <c r="AQ10" s="46">
        <f t="shared" si="13"/>
        <v>0.16097308488612835</v>
      </c>
      <c r="AR10" s="51">
        <f t="shared" si="14"/>
        <v>6.0450160771703398E-3</v>
      </c>
      <c r="AS10" s="45"/>
      <c r="AT10" s="147">
        <f t="shared" si="15"/>
        <v>19.33483878967947</v>
      </c>
      <c r="AU10" s="51">
        <f t="shared" si="16"/>
        <v>7.6746384290471426E-4</v>
      </c>
      <c r="AV10" s="45"/>
      <c r="AW10" s="47">
        <f t="shared" si="17"/>
        <v>19.4375</v>
      </c>
      <c r="AX10" s="51">
        <f t="shared" si="18"/>
        <v>6.0450160771704509E-3</v>
      </c>
      <c r="AY10" s="72"/>
      <c r="AZ10" s="54">
        <f t="shared" si="19"/>
        <v>1.7895142362712765E-2</v>
      </c>
      <c r="BA10" s="54">
        <f t="shared" si="19"/>
        <v>1.8780986191548972</v>
      </c>
      <c r="BB10" s="54">
        <f t="shared" si="19"/>
        <v>8.7761617717518554</v>
      </c>
      <c r="BC10" s="45"/>
      <c r="BD10" s="55"/>
      <c r="BE10" s="55"/>
      <c r="BF10" s="89"/>
    </row>
    <row r="11" spans="2:58" s="43" customFormat="1" x14ac:dyDescent="0.2">
      <c r="B11" s="88"/>
      <c r="C11" s="15" t="s">
        <v>40</v>
      </c>
      <c r="D11" s="15">
        <v>2017</v>
      </c>
      <c r="E11" s="15" t="s">
        <v>21</v>
      </c>
      <c r="F11" s="15" t="s">
        <v>45</v>
      </c>
      <c r="G11" s="15" t="s">
        <v>47</v>
      </c>
      <c r="H11" s="15"/>
      <c r="I11" s="16">
        <v>500000</v>
      </c>
      <c r="J11" s="16"/>
      <c r="K11" s="27"/>
      <c r="L11" s="15">
        <v>1</v>
      </c>
      <c r="M11" s="15"/>
      <c r="N11" s="15"/>
      <c r="O11" s="17">
        <f t="shared" si="0"/>
        <v>31.103476799999999</v>
      </c>
      <c r="P11" s="27"/>
      <c r="Q11" s="35"/>
      <c r="R11" s="27"/>
      <c r="S11" s="35">
        <v>31.42</v>
      </c>
      <c r="T11" s="18">
        <v>40.53</v>
      </c>
      <c r="U11" s="18">
        <v>3.1</v>
      </c>
      <c r="V11" s="133">
        <v>0.39</v>
      </c>
      <c r="W11" s="40">
        <v>2.99</v>
      </c>
      <c r="X11" s="27"/>
      <c r="Y11" s="148">
        <f t="shared" si="1"/>
        <v>10.49</v>
      </c>
      <c r="Z11" s="19">
        <f t="shared" si="2"/>
        <v>2965.0597521448999</v>
      </c>
      <c r="AA11" s="27"/>
      <c r="AB11" s="15">
        <f t="shared" si="3"/>
        <v>2.3200000000000003</v>
      </c>
      <c r="AC11" s="19">
        <f t="shared" si="4"/>
        <v>1290.1585619080674</v>
      </c>
      <c r="AD11" s="19">
        <f t="shared" si="5"/>
        <v>2993.167863626717</v>
      </c>
      <c r="AE11" s="27"/>
      <c r="AF11" s="30" t="str">
        <f t="shared" si="6"/>
        <v/>
      </c>
      <c r="AG11" s="30">
        <f t="shared" si="7"/>
        <v>1.0073940165499784E-2</v>
      </c>
      <c r="AH11" s="30">
        <f t="shared" si="8"/>
        <v>9.3907568043175571E-3</v>
      </c>
      <c r="AI11" s="38"/>
      <c r="AJ11" s="17">
        <f t="shared" si="9"/>
        <v>0.4008932778930081</v>
      </c>
      <c r="AK11" s="18">
        <f t="shared" si="10"/>
        <v>31.398330889444264</v>
      </c>
      <c r="AL11" s="30">
        <f t="shared" si="11"/>
        <v>-6.9013574740761641E-4</v>
      </c>
      <c r="AM11" s="38"/>
      <c r="AN11" s="17">
        <f t="shared" si="20"/>
        <v>2.9931678636267169</v>
      </c>
      <c r="AO11" s="30">
        <f t="shared" si="12"/>
        <v>1.0583648398785339E-3</v>
      </c>
      <c r="AP11" s="38"/>
      <c r="AQ11" s="17">
        <f t="shared" si="13"/>
        <v>2.9952335557673977</v>
      </c>
      <c r="AR11" s="30">
        <f t="shared" si="14"/>
        <v>1.7472947167409547E-3</v>
      </c>
      <c r="AS11" s="38"/>
      <c r="AT11" s="148">
        <f t="shared" si="15"/>
        <v>10.497239523990306</v>
      </c>
      <c r="AU11" s="30">
        <f t="shared" si="16"/>
        <v>6.8965978853396948E-4</v>
      </c>
      <c r="AV11" s="38"/>
      <c r="AW11" s="18">
        <f t="shared" si="17"/>
        <v>10.508361204013378</v>
      </c>
      <c r="AX11" s="30">
        <f t="shared" si="18"/>
        <v>1.7472947167408437E-3</v>
      </c>
      <c r="AY11" s="27"/>
      <c r="AZ11" s="20">
        <f t="shared" si="19"/>
        <v>0.18079272444901454</v>
      </c>
      <c r="BA11" s="20">
        <f t="shared" si="19"/>
        <v>18.97423106554562</v>
      </c>
      <c r="BB11" s="20">
        <f t="shared" si="19"/>
        <v>88.664631147409438</v>
      </c>
      <c r="BC11" s="38"/>
      <c r="BD11" s="34"/>
      <c r="BE11" s="34"/>
      <c r="BF11" s="106"/>
    </row>
    <row r="12" spans="2:58" s="43" customFormat="1" x14ac:dyDescent="0.2">
      <c r="B12" s="88"/>
      <c r="C12" s="43" t="s">
        <v>4</v>
      </c>
      <c r="D12" s="43">
        <v>2015</v>
      </c>
      <c r="E12" s="43" t="s">
        <v>21</v>
      </c>
      <c r="F12" s="43" t="s">
        <v>5</v>
      </c>
      <c r="G12" s="43" t="s">
        <v>6</v>
      </c>
      <c r="I12" s="44">
        <v>50000</v>
      </c>
      <c r="J12" s="44"/>
      <c r="K12" s="72"/>
      <c r="L12" s="43">
        <v>1</v>
      </c>
      <c r="O12" s="46">
        <f t="shared" si="0"/>
        <v>31.103476799999999</v>
      </c>
      <c r="P12" s="72"/>
      <c r="Q12" s="52"/>
      <c r="R12" s="72"/>
      <c r="S12" s="52">
        <v>31.17</v>
      </c>
      <c r="T12" s="47">
        <v>37.950000000000003</v>
      </c>
      <c r="U12" s="47">
        <v>3.17</v>
      </c>
      <c r="V12" s="132">
        <v>0.28000000000000003</v>
      </c>
      <c r="W12" s="49">
        <v>2.98</v>
      </c>
      <c r="X12" s="72"/>
      <c r="Y12" s="147">
        <f t="shared" si="1"/>
        <v>10.49</v>
      </c>
      <c r="Z12" s="48">
        <f t="shared" si="2"/>
        <v>2965.0597521448999</v>
      </c>
      <c r="AA12" s="72"/>
      <c r="AB12" s="43">
        <f t="shared" si="3"/>
        <v>2.61</v>
      </c>
      <c r="AC12" s="48">
        <f t="shared" si="4"/>
        <v>1131.1323984204137</v>
      </c>
      <c r="AD12" s="48">
        <f t="shared" si="5"/>
        <v>2952.2555598772797</v>
      </c>
      <c r="AE12" s="72"/>
      <c r="AF12" s="51" t="str">
        <f t="shared" si="6"/>
        <v/>
      </c>
      <c r="AG12" s="51">
        <f t="shared" si="7"/>
        <v>2.1342059672763147E-3</v>
      </c>
      <c r="AH12" s="51">
        <f t="shared" si="8"/>
        <v>-4.3370880358855057E-3</v>
      </c>
      <c r="AI12" s="45"/>
      <c r="AJ12" s="10">
        <f t="shared" si="9"/>
        <v>0.27434010011316934</v>
      </c>
      <c r="AK12" s="47">
        <f t="shared" si="10"/>
        <v>30.969160823112663</v>
      </c>
      <c r="AL12" s="51">
        <f t="shared" si="11"/>
        <v>-6.4851346161582946E-3</v>
      </c>
      <c r="AM12" s="45"/>
      <c r="AN12" s="46">
        <f t="shared" si="20"/>
        <v>2.9522555598772797</v>
      </c>
      <c r="AO12" s="51">
        <f t="shared" si="12"/>
        <v>-9.3977095004178501E-3</v>
      </c>
      <c r="AP12" s="45"/>
      <c r="AQ12" s="46">
        <f t="shared" si="13"/>
        <v>2.9714013346043853</v>
      </c>
      <c r="AR12" s="51">
        <f t="shared" si="14"/>
        <v>-2.8938081488609768E-3</v>
      </c>
      <c r="AS12" s="45"/>
      <c r="AT12" s="147">
        <f t="shared" si="15"/>
        <v>10.558029062123499</v>
      </c>
      <c r="AU12" s="51">
        <f t="shared" si="16"/>
        <v>6.4433486328949741E-3</v>
      </c>
      <c r="AV12" s="45"/>
      <c r="AW12" s="47">
        <f t="shared" si="17"/>
        <v>10.459731543624162</v>
      </c>
      <c r="AX12" s="51">
        <f t="shared" si="18"/>
        <v>-2.8938081488609768E-3</v>
      </c>
      <c r="AY12" s="72"/>
      <c r="AZ12" s="54">
        <f t="shared" si="19"/>
        <v>0.17935420818191544</v>
      </c>
      <c r="BA12" s="54">
        <f t="shared" si="19"/>
        <v>18.823258507735737</v>
      </c>
      <c r="BB12" s="54">
        <f t="shared" si="19"/>
        <v>87.959151905307195</v>
      </c>
      <c r="BC12" s="45"/>
      <c r="BD12" s="55"/>
      <c r="BE12" s="55"/>
      <c r="BF12" s="89"/>
    </row>
    <row r="13" spans="2:58" s="43" customFormat="1" x14ac:dyDescent="0.2">
      <c r="B13" s="88"/>
      <c r="C13" s="43" t="s">
        <v>4</v>
      </c>
      <c r="D13" s="43">
        <v>2015</v>
      </c>
      <c r="E13" s="43" t="s">
        <v>23</v>
      </c>
      <c r="F13" s="43" t="s">
        <v>63</v>
      </c>
      <c r="G13" s="43" t="s">
        <v>62</v>
      </c>
      <c r="I13" s="44">
        <v>10000</v>
      </c>
      <c r="J13" s="44"/>
      <c r="K13" s="72"/>
      <c r="L13" s="43">
        <v>0.1</v>
      </c>
      <c r="O13" s="46">
        <f t="shared" si="0"/>
        <v>3.1103476800000003</v>
      </c>
      <c r="P13" s="72"/>
      <c r="Q13" s="52"/>
      <c r="R13" s="72"/>
      <c r="S13" s="52">
        <v>3.14</v>
      </c>
      <c r="T13" s="47">
        <v>15.97</v>
      </c>
      <c r="U13" s="47">
        <v>1.1299999999999999</v>
      </c>
      <c r="V13" s="132">
        <v>0.16</v>
      </c>
      <c r="W13" s="49">
        <v>0.16</v>
      </c>
      <c r="X13" s="72"/>
      <c r="Y13" s="147">
        <f t="shared" si="1"/>
        <v>19.32</v>
      </c>
      <c r="Z13" s="48">
        <f t="shared" si="2"/>
        <v>160.99108074534163</v>
      </c>
      <c r="AA13" s="72"/>
      <c r="AB13" s="43">
        <f t="shared" si="3"/>
        <v>0.80999999999999983</v>
      </c>
      <c r="AC13" s="48">
        <f t="shared" si="4"/>
        <v>200.30865445123229</v>
      </c>
      <c r="AD13" s="48">
        <f t="shared" si="5"/>
        <v>162.25001010549812</v>
      </c>
      <c r="AE13" s="72"/>
      <c r="AF13" s="51" t="str">
        <f t="shared" si="6"/>
        <v/>
      </c>
      <c r="AG13" s="51">
        <f t="shared" si="7"/>
        <v>9.4434140127388488E-3</v>
      </c>
      <c r="AH13" s="51">
        <f t="shared" si="8"/>
        <v>7.7591943404989872E-3</v>
      </c>
      <c r="AI13" s="45"/>
      <c r="AJ13" s="10">
        <f t="shared" si="9"/>
        <v>0.16314247370790214</v>
      </c>
      <c r="AK13" s="47">
        <f t="shared" si="10"/>
        <v>3.1346701952382237</v>
      </c>
      <c r="AL13" s="51">
        <f t="shared" si="11"/>
        <v>-1.700276083229646E-3</v>
      </c>
      <c r="AM13" s="45"/>
      <c r="AN13" s="46">
        <f t="shared" si="20"/>
        <v>0.16225001010549811</v>
      </c>
      <c r="AO13" s="51">
        <f t="shared" si="12"/>
        <v>1.3867549863541551E-2</v>
      </c>
      <c r="AP13" s="45"/>
      <c r="AQ13" s="46">
        <f t="shared" si="13"/>
        <v>0.16252587991718426</v>
      </c>
      <c r="AR13" s="51">
        <f t="shared" si="14"/>
        <v>1.5541401273885258E-2</v>
      </c>
      <c r="AS13" s="45"/>
      <c r="AT13" s="147">
        <f t="shared" si="15"/>
        <v>19.352849333927999</v>
      </c>
      <c r="AU13" s="51">
        <f t="shared" si="16"/>
        <v>1.6973900515212526E-3</v>
      </c>
      <c r="AV13" s="45"/>
      <c r="AW13" s="47">
        <f t="shared" si="17"/>
        <v>19.625</v>
      </c>
      <c r="AX13" s="51">
        <f t="shared" si="18"/>
        <v>1.5541401273885369E-2</v>
      </c>
      <c r="AY13" s="72"/>
      <c r="AZ13" s="54">
        <f t="shared" si="19"/>
        <v>1.8067764314764659E-2</v>
      </c>
      <c r="BA13" s="54">
        <f t="shared" si="19"/>
        <v>1.8962153260920829</v>
      </c>
      <c r="BB13" s="54">
        <f t="shared" si="19"/>
        <v>8.860819280804126</v>
      </c>
      <c r="BC13" s="45"/>
      <c r="BD13" s="55"/>
      <c r="BE13" s="55"/>
      <c r="BF13" s="89"/>
    </row>
    <row r="14" spans="2:58" s="43" customFormat="1" x14ac:dyDescent="0.2">
      <c r="B14" s="88"/>
      <c r="C14" s="15" t="s">
        <v>4</v>
      </c>
      <c r="D14" s="15">
        <v>2015</v>
      </c>
      <c r="E14" s="15" t="s">
        <v>23</v>
      </c>
      <c r="F14" s="15" t="s">
        <v>5</v>
      </c>
      <c r="G14" s="15" t="s">
        <v>6</v>
      </c>
      <c r="H14" s="15"/>
      <c r="I14" s="16">
        <v>10000</v>
      </c>
      <c r="J14" s="16"/>
      <c r="K14" s="27"/>
      <c r="L14" s="15">
        <v>0.1</v>
      </c>
      <c r="M14" s="15"/>
      <c r="N14" s="15"/>
      <c r="O14" s="17">
        <f t="shared" si="0"/>
        <v>3.1103476800000003</v>
      </c>
      <c r="P14" s="27"/>
      <c r="Q14" s="35"/>
      <c r="R14" s="27"/>
      <c r="S14" s="35">
        <v>3.16</v>
      </c>
      <c r="T14" s="18">
        <v>16.03</v>
      </c>
      <c r="U14" s="18">
        <v>1.06</v>
      </c>
      <c r="V14" s="133">
        <v>0.13</v>
      </c>
      <c r="W14" s="40">
        <v>0.16</v>
      </c>
      <c r="X14" s="27"/>
      <c r="Y14" s="148">
        <f t="shared" si="1"/>
        <v>19.32</v>
      </c>
      <c r="Z14" s="19">
        <f t="shared" si="2"/>
        <v>160.99108074534163</v>
      </c>
      <c r="AA14" s="27"/>
      <c r="AB14" s="15">
        <f t="shared" si="3"/>
        <v>0.8</v>
      </c>
      <c r="AC14" s="19">
        <f t="shared" si="4"/>
        <v>201.81661892495541</v>
      </c>
      <c r="AD14" s="19">
        <f t="shared" si="5"/>
        <v>161.45329513996433</v>
      </c>
      <c r="AE14" s="27"/>
      <c r="AF14" s="30" t="str">
        <f t="shared" si="6"/>
        <v/>
      </c>
      <c r="AG14" s="30">
        <f t="shared" si="7"/>
        <v>1.5712759493670791E-2</v>
      </c>
      <c r="AH14" s="30">
        <f t="shared" si="8"/>
        <v>2.8628365511028653E-3</v>
      </c>
      <c r="AI14" s="38"/>
      <c r="AJ14" s="17">
        <f t="shared" si="9"/>
        <v>0.13114513462044119</v>
      </c>
      <c r="AK14" s="18">
        <f t="shared" si="10"/>
        <v>3.1192776621041109</v>
      </c>
      <c r="AL14" s="30">
        <f t="shared" si="11"/>
        <v>-1.3055053864111654E-2</v>
      </c>
      <c r="AM14" s="38"/>
      <c r="AN14" s="17">
        <f t="shared" si="20"/>
        <v>0.16145329513996431</v>
      </c>
      <c r="AO14" s="30">
        <f t="shared" si="12"/>
        <v>9.0013346503980962E-3</v>
      </c>
      <c r="AP14" s="38"/>
      <c r="AQ14" s="17">
        <f t="shared" si="13"/>
        <v>0.16356107660455488</v>
      </c>
      <c r="AR14" s="30">
        <f t="shared" si="14"/>
        <v>2.1772151898734271E-2</v>
      </c>
      <c r="AS14" s="38"/>
      <c r="AT14" s="148">
        <f t="shared" si="15"/>
        <v>19.572223640654638</v>
      </c>
      <c r="AU14" s="30">
        <f t="shared" si="16"/>
        <v>1.2886815789838413E-2</v>
      </c>
      <c r="AV14" s="38"/>
      <c r="AW14" s="18">
        <f t="shared" si="17"/>
        <v>19.75</v>
      </c>
      <c r="AX14" s="30">
        <f t="shared" si="18"/>
        <v>2.177215189873416E-2</v>
      </c>
      <c r="AY14" s="27"/>
      <c r="AZ14" s="20">
        <f t="shared" si="19"/>
        <v>1.8182845616132589E-2</v>
      </c>
      <c r="BA14" s="20">
        <f t="shared" si="19"/>
        <v>1.9082931307168731</v>
      </c>
      <c r="BB14" s="20">
        <f t="shared" si="19"/>
        <v>8.9172576201723039</v>
      </c>
      <c r="BC14" s="38"/>
      <c r="BD14" s="34"/>
      <c r="BE14" s="34"/>
      <c r="BF14" s="89"/>
    </row>
    <row r="15" spans="2:58" s="43" customFormat="1" x14ac:dyDescent="0.2">
      <c r="B15" s="88"/>
      <c r="C15" s="43" t="s">
        <v>0</v>
      </c>
      <c r="D15" s="43">
        <v>1997</v>
      </c>
      <c r="E15" s="43" t="s">
        <v>21</v>
      </c>
      <c r="F15" s="43" t="s">
        <v>1</v>
      </c>
      <c r="G15" s="43" t="s">
        <v>3</v>
      </c>
      <c r="I15" s="44">
        <v>8000</v>
      </c>
      <c r="J15" s="44"/>
      <c r="K15" s="72"/>
      <c r="L15" s="43">
        <v>1</v>
      </c>
      <c r="O15" s="46">
        <f t="shared" si="0"/>
        <v>31.103476799999999</v>
      </c>
      <c r="P15" s="72"/>
      <c r="Q15" s="52" t="s">
        <v>205</v>
      </c>
      <c r="R15" s="72"/>
      <c r="S15" s="52">
        <v>31.48</v>
      </c>
      <c r="T15" s="47">
        <v>39.85</v>
      </c>
      <c r="U15" s="47">
        <v>3.33</v>
      </c>
      <c r="V15" s="132">
        <v>0.46</v>
      </c>
      <c r="W15" s="49">
        <v>2.98</v>
      </c>
      <c r="X15" s="72"/>
      <c r="Y15" s="147">
        <f t="shared" si="1"/>
        <v>10.49</v>
      </c>
      <c r="Z15" s="48">
        <f t="shared" si="2"/>
        <v>2965.0597521448999</v>
      </c>
      <c r="AA15" s="72"/>
      <c r="AB15" s="43">
        <f t="shared" si="3"/>
        <v>2.41</v>
      </c>
      <c r="AC15" s="48">
        <f t="shared" si="4"/>
        <v>1247.2299549338243</v>
      </c>
      <c r="AD15" s="48">
        <f t="shared" si="5"/>
        <v>3005.8241913905167</v>
      </c>
      <c r="AE15" s="72"/>
      <c r="AF15" s="51" t="str">
        <f>IF(OR(T15="",Q15="x",Q15=""),"",1-(T15/Q15))</f>
        <v/>
      </c>
      <c r="AG15" s="51">
        <f t="shared" si="7"/>
        <v>1.1960711562897131E-2</v>
      </c>
      <c r="AH15" s="51">
        <f t="shared" si="8"/>
        <v>1.3561817541550503E-2</v>
      </c>
      <c r="AI15" s="45"/>
      <c r="AJ15" s="10">
        <f t="shared" si="9"/>
        <v>0.47634199013756828</v>
      </c>
      <c r="AK15" s="47">
        <f t="shared" si="10"/>
        <v>31.531095767686523</v>
      </c>
      <c r="AL15" s="51">
        <f t="shared" si="11"/>
        <v>1.6204881702489571E-3</v>
      </c>
      <c r="AM15" s="45"/>
      <c r="AN15" s="46">
        <f t="shared" si="20"/>
        <v>3.0058241913905168</v>
      </c>
      <c r="AO15" s="51">
        <f t="shared" si="12"/>
        <v>8.5913845076116546E-3</v>
      </c>
      <c r="AP15" s="45"/>
      <c r="AQ15" s="46">
        <f t="shared" si="13"/>
        <v>3.0009532888465205</v>
      </c>
      <c r="AR15" s="51">
        <f t="shared" si="14"/>
        <v>6.9822109275730071E-3</v>
      </c>
      <c r="AS15" s="45"/>
      <c r="AT15" s="147">
        <f t="shared" si="15"/>
        <v>10.47300107909409</v>
      </c>
      <c r="AU15" s="51">
        <f t="shared" si="16"/>
        <v>-1.623118414438407E-3</v>
      </c>
      <c r="AV15" s="45"/>
      <c r="AW15" s="47">
        <f t="shared" si="17"/>
        <v>10.563758389261745</v>
      </c>
      <c r="AX15" s="51">
        <f t="shared" si="18"/>
        <v>6.9822109275730071E-3</v>
      </c>
      <c r="AY15" s="72"/>
      <c r="AZ15" s="54">
        <f t="shared" si="19"/>
        <v>0.18113796835311832</v>
      </c>
      <c r="BA15" s="54">
        <f t="shared" si="19"/>
        <v>19.010464479419991</v>
      </c>
      <c r="BB15" s="54">
        <f t="shared" si="19"/>
        <v>88.833946165513964</v>
      </c>
      <c r="BC15" s="45"/>
      <c r="BD15" s="158" t="s">
        <v>201</v>
      </c>
      <c r="BE15" s="55"/>
      <c r="BF15" s="89"/>
    </row>
    <row r="16" spans="2:58" s="43" customFormat="1" x14ac:dyDescent="0.2">
      <c r="B16" s="88"/>
      <c r="C16" s="15" t="s">
        <v>0</v>
      </c>
      <c r="D16" s="15">
        <v>2013</v>
      </c>
      <c r="E16" s="127" t="s">
        <v>44</v>
      </c>
      <c r="F16" s="15" t="s">
        <v>1</v>
      </c>
      <c r="G16" s="15" t="s">
        <v>2</v>
      </c>
      <c r="H16" s="127" t="s">
        <v>57</v>
      </c>
      <c r="I16" s="16" t="s">
        <v>30</v>
      </c>
      <c r="J16" s="16"/>
      <c r="K16" s="27"/>
      <c r="L16" s="15">
        <v>1</v>
      </c>
      <c r="M16" s="15"/>
      <c r="N16" s="15"/>
      <c r="O16" s="17">
        <f t="shared" si="0"/>
        <v>31.103476799999999</v>
      </c>
      <c r="P16" s="27"/>
      <c r="Q16" s="35" t="s">
        <v>205</v>
      </c>
      <c r="R16" s="27"/>
      <c r="S16" s="126">
        <v>30.22</v>
      </c>
      <c r="T16" s="18">
        <v>39.94</v>
      </c>
      <c r="U16" s="126">
        <v>3.53</v>
      </c>
      <c r="V16" s="133">
        <v>0.1</v>
      </c>
      <c r="W16" s="40">
        <v>4.1500000000000004</v>
      </c>
      <c r="X16" s="27"/>
      <c r="Y16" s="148">
        <f t="shared" si="1"/>
        <v>7.3250000000000002</v>
      </c>
      <c r="Z16" s="19">
        <f t="shared" si="2"/>
        <v>4246.2084368600681</v>
      </c>
      <c r="AA16" s="27"/>
      <c r="AB16" s="15">
        <f t="shared" si="3"/>
        <v>3.3299999999999996</v>
      </c>
      <c r="AC16" s="19">
        <f t="shared" si="4"/>
        <v>1252.8699776849976</v>
      </c>
      <c r="AD16" s="19">
        <f t="shared" si="5"/>
        <v>4172.0570256910414</v>
      </c>
      <c r="AE16" s="27"/>
      <c r="AF16" s="30" t="str">
        <f t="shared" ref="AF16:AF49" si="21">IF(OR(T16="",Q16="x",Q16=""),"",1-(T16/Q16))</f>
        <v/>
      </c>
      <c r="AG16" s="30">
        <f t="shared" si="7"/>
        <v>-2.9234837855724782E-2</v>
      </c>
      <c r="AH16" s="30">
        <f t="shared" si="8"/>
        <v>-1.7773345549308317E-2</v>
      </c>
      <c r="AI16" s="38"/>
      <c r="AJ16" s="17">
        <f t="shared" si="9"/>
        <v>7.040737966040167E-2</v>
      </c>
      <c r="AK16" s="18">
        <f t="shared" si="10"/>
        <v>30.56031771318688</v>
      </c>
      <c r="AL16" s="30">
        <f t="shared" si="11"/>
        <v>1.1135935050833323E-2</v>
      </c>
      <c r="AM16" s="38"/>
      <c r="AN16" s="17">
        <f t="shared" si="20"/>
        <v>4.172057025691041</v>
      </c>
      <c r="AO16" s="30">
        <f t="shared" si="12"/>
        <v>5.2868466454835117E-3</v>
      </c>
      <c r="AP16" s="38"/>
      <c r="AQ16" s="17">
        <f t="shared" si="13"/>
        <v>4.1255972696245733</v>
      </c>
      <c r="AR16" s="30">
        <f t="shared" si="14"/>
        <v>-5.9149569821310699E-3</v>
      </c>
      <c r="AS16" s="38"/>
      <c r="AT16" s="148">
        <f t="shared" si="15"/>
        <v>7.2434292757526464</v>
      </c>
      <c r="AU16" s="30">
        <f t="shared" si="16"/>
        <v>-1.1261340608434089E-2</v>
      </c>
      <c r="AV16" s="38"/>
      <c r="AW16" s="18">
        <f t="shared" si="17"/>
        <v>7.2819277108433722</v>
      </c>
      <c r="AX16" s="30">
        <f t="shared" si="18"/>
        <v>-5.914956982131292E-3</v>
      </c>
      <c r="AY16" s="27"/>
      <c r="AZ16" s="20">
        <f t="shared" si="19"/>
        <v>0.17388784636693883</v>
      </c>
      <c r="BA16" s="20">
        <f t="shared" si="19"/>
        <v>18.249562788058196</v>
      </c>
      <c r="BB16" s="20">
        <f t="shared" si="19"/>
        <v>85.278330785318673</v>
      </c>
      <c r="BC16" s="38"/>
      <c r="BD16" s="34"/>
      <c r="BE16" s="34"/>
      <c r="BF16" s="89"/>
    </row>
    <row r="17" spans="2:58" s="43" customFormat="1" x14ac:dyDescent="0.2">
      <c r="B17" s="88"/>
      <c r="C17" s="43" t="s">
        <v>93</v>
      </c>
      <c r="D17" s="43">
        <v>1881</v>
      </c>
      <c r="E17" s="43" t="s">
        <v>211</v>
      </c>
      <c r="F17" s="43" t="s">
        <v>94</v>
      </c>
      <c r="G17" s="43" t="s">
        <v>210</v>
      </c>
      <c r="I17" s="44"/>
      <c r="J17" s="44"/>
      <c r="K17" s="72"/>
      <c r="O17" s="46">
        <v>1.67</v>
      </c>
      <c r="P17" s="72"/>
      <c r="Q17" s="52">
        <v>13.5</v>
      </c>
      <c r="R17" s="72"/>
      <c r="S17" s="52">
        <v>1.65</v>
      </c>
      <c r="T17" s="47">
        <v>14</v>
      </c>
      <c r="U17" s="47">
        <v>0.73</v>
      </c>
      <c r="V17" s="132">
        <v>6.8000000000000005E-2</v>
      </c>
      <c r="W17" s="49"/>
      <c r="X17" s="72"/>
      <c r="Y17" s="147">
        <f t="shared" si="1"/>
        <v>18.281000000000002</v>
      </c>
      <c r="Z17" s="48">
        <f t="shared" si="2"/>
        <v>91.351676604124492</v>
      </c>
      <c r="AA17" s="72"/>
      <c r="AB17" s="43">
        <f t="shared" si="3"/>
        <v>0.59399999999999997</v>
      </c>
      <c r="AC17" s="48">
        <f t="shared" si="4"/>
        <v>153.93804002589985</v>
      </c>
      <c r="AD17" s="48">
        <f t="shared" ref="AD17" si="22">IF(OR(AC17="",AB17=""),"",AC17*AB17)</f>
        <v>91.439195775384505</v>
      </c>
      <c r="AE17" s="72"/>
      <c r="AF17" s="51">
        <f t="shared" ref="AF17" si="23">IF(OR(T17="",Q17="x",Q17=""),"",1-(T17/Q17))</f>
        <v>-3.7037037037036979E-2</v>
      </c>
      <c r="AG17" s="51">
        <f t="shared" si="7"/>
        <v>-1.2121212121212199E-2</v>
      </c>
      <c r="AH17" s="51">
        <f t="shared" si="8"/>
        <v>9.5712971355299548E-4</v>
      </c>
      <c r="AI17" s="45"/>
      <c r="AJ17" s="10">
        <f t="shared" si="9"/>
        <v>6.828426752492528E-2</v>
      </c>
      <c r="AK17" s="47">
        <f t="shared" si="10"/>
        <v>1.6715999379698043</v>
      </c>
      <c r="AL17" s="51">
        <f t="shared" si="11"/>
        <v>1.2921714986444677E-2</v>
      </c>
      <c r="AM17" s="45"/>
      <c r="AN17" s="46">
        <f t="shared" si="20"/>
        <v>9.1439195775384507E-2</v>
      </c>
      <c r="AO17" s="51" t="str">
        <f t="shared" si="12"/>
        <v/>
      </c>
      <c r="AP17" s="45"/>
      <c r="AQ17" s="46">
        <f t="shared" si="13"/>
        <v>9.0257644548985272E-2</v>
      </c>
      <c r="AR17" s="51" t="str">
        <f t="shared" si="14"/>
        <v/>
      </c>
      <c r="AS17" s="45"/>
      <c r="AT17" s="147">
        <f t="shared" si="15"/>
        <v>18.044778128332808</v>
      </c>
      <c r="AU17" s="51">
        <f t="shared" si="16"/>
        <v>-1.3090871496851175E-2</v>
      </c>
      <c r="AV17" s="45"/>
      <c r="AW17" s="47" t="str">
        <f t="shared" si="17"/>
        <v/>
      </c>
      <c r="AX17" s="51" t="str">
        <f t="shared" si="18"/>
        <v/>
      </c>
      <c r="AY17" s="72"/>
      <c r="AZ17" s="54">
        <f t="shared" ref="AZ17:BB21" si="24">IF($S17="","",VLOOKUP(AZ$6,Metals,7,FALSE)*$S17/GramsPerOz)</f>
        <v>9.4942073628540413E-3</v>
      </c>
      <c r="BA17" s="54">
        <f t="shared" si="24"/>
        <v>0.99641888154520275</v>
      </c>
      <c r="BB17" s="54">
        <f t="shared" si="24"/>
        <v>4.6561629978747785</v>
      </c>
      <c r="BC17" s="45"/>
      <c r="BD17" s="158" t="s">
        <v>201</v>
      </c>
      <c r="BE17" s="55" t="s">
        <v>209</v>
      </c>
      <c r="BF17" s="89"/>
    </row>
    <row r="18" spans="2:58" s="43" customFormat="1" x14ac:dyDescent="0.2">
      <c r="B18" s="88"/>
      <c r="C18" s="43" t="s">
        <v>93</v>
      </c>
      <c r="D18" s="43">
        <v>1886</v>
      </c>
      <c r="E18" s="43" t="s">
        <v>87</v>
      </c>
      <c r="F18" s="43" t="s">
        <v>94</v>
      </c>
      <c r="G18" s="43" t="s">
        <v>95</v>
      </c>
      <c r="I18" s="44"/>
      <c r="J18" s="44"/>
      <c r="K18" s="72"/>
      <c r="O18" s="46">
        <v>26.96</v>
      </c>
      <c r="P18" s="72"/>
      <c r="Q18" s="52">
        <v>38.1</v>
      </c>
      <c r="R18" s="72"/>
      <c r="S18" s="52">
        <v>26.91</v>
      </c>
      <c r="T18" s="47">
        <v>38.64</v>
      </c>
      <c r="U18" s="47">
        <v>2.65</v>
      </c>
      <c r="V18" s="132">
        <v>0.22</v>
      </c>
      <c r="W18" s="49">
        <f>81.68-79.04</f>
        <v>2.6400000000000006</v>
      </c>
      <c r="X18" s="72"/>
      <c r="Y18" s="147">
        <f t="shared" si="1"/>
        <v>10.334</v>
      </c>
      <c r="Z18" s="48">
        <f t="shared" si="2"/>
        <v>2608.8639442616604</v>
      </c>
      <c r="AA18" s="72"/>
      <c r="AB18" s="43">
        <f t="shared" si="3"/>
        <v>2.21</v>
      </c>
      <c r="AC18" s="48">
        <f t="shared" si="4"/>
        <v>1172.6384137012949</v>
      </c>
      <c r="AD18" s="48">
        <f t="shared" si="5"/>
        <v>2591.5308942798615</v>
      </c>
      <c r="AE18" s="72"/>
      <c r="AF18" s="51">
        <f t="shared" si="21"/>
        <v>-1.4173228346456623E-2</v>
      </c>
      <c r="AG18" s="51">
        <f t="shared" si="7"/>
        <v>-1.85804533630618E-3</v>
      </c>
      <c r="AH18" s="51">
        <f t="shared" si="8"/>
        <v>-6.688343951468001E-3</v>
      </c>
      <c r="AI18" s="45"/>
      <c r="AJ18" s="10">
        <f t="shared" si="9"/>
        <v>0.21260937993362794</v>
      </c>
      <c r="AK18" s="47">
        <f t="shared" si="10"/>
        <v>26.780880261488086</v>
      </c>
      <c r="AL18" s="51">
        <f t="shared" si="11"/>
        <v>-4.8213403462167292E-3</v>
      </c>
      <c r="AM18" s="45"/>
      <c r="AN18" s="46">
        <f t="shared" si="20"/>
        <v>2.5915308942798614</v>
      </c>
      <c r="AO18" s="51">
        <f t="shared" si="12"/>
        <v>-1.8702885551981074E-2</v>
      </c>
      <c r="AP18" s="45"/>
      <c r="AQ18" s="46">
        <f t="shared" si="13"/>
        <v>2.6040255467389204</v>
      </c>
      <c r="AR18" s="51">
        <f t="shared" si="14"/>
        <v>-1.3814938684503897E-2</v>
      </c>
      <c r="AS18" s="45"/>
      <c r="AT18" s="147">
        <f t="shared" si="15"/>
        <v>10.383823731137804</v>
      </c>
      <c r="AU18" s="51">
        <f t="shared" si="16"/>
        <v>4.7982065593427103E-3</v>
      </c>
      <c r="AV18" s="45"/>
      <c r="AW18" s="47">
        <f t="shared" si="17"/>
        <v>10.193181818181817</v>
      </c>
      <c r="AX18" s="51">
        <f t="shared" si="18"/>
        <v>-1.3814938684504119E-2</v>
      </c>
      <c r="AY18" s="72"/>
      <c r="AZ18" s="54">
        <f t="shared" si="24"/>
        <v>0.15484189099054682</v>
      </c>
      <c r="BA18" s="54">
        <f t="shared" si="24"/>
        <v>16.250686122655399</v>
      </c>
      <c r="BB18" s="54">
        <f t="shared" si="24"/>
        <v>75.937785619885034</v>
      </c>
      <c r="BC18" s="45"/>
      <c r="BD18" s="158" t="s">
        <v>201</v>
      </c>
      <c r="BE18" s="55"/>
      <c r="BF18" s="89"/>
    </row>
    <row r="19" spans="2:58" s="43" customFormat="1" x14ac:dyDescent="0.2">
      <c r="B19" s="88"/>
      <c r="C19" s="43" t="s">
        <v>93</v>
      </c>
      <c r="D19" s="43">
        <v>1886</v>
      </c>
      <c r="E19" s="43" t="s">
        <v>87</v>
      </c>
      <c r="F19" s="43" t="s">
        <v>94</v>
      </c>
      <c r="G19" s="43" t="s">
        <v>95</v>
      </c>
      <c r="I19" s="44"/>
      <c r="J19" s="44"/>
      <c r="K19" s="72"/>
      <c r="O19" s="46">
        <v>26.96</v>
      </c>
      <c r="P19" s="72"/>
      <c r="Q19" s="52">
        <v>38.1</v>
      </c>
      <c r="R19" s="72"/>
      <c r="S19" s="52">
        <v>26.91</v>
      </c>
      <c r="T19" s="47">
        <v>38.72</v>
      </c>
      <c r="U19" s="47">
        <v>2.65</v>
      </c>
      <c r="V19" s="132">
        <v>0.22</v>
      </c>
      <c r="W19" s="49">
        <v>2.62</v>
      </c>
      <c r="X19" s="72"/>
      <c r="Y19" s="147">
        <f t="shared" si="1"/>
        <v>10.334</v>
      </c>
      <c r="Z19" s="48">
        <f t="shared" si="2"/>
        <v>2608.8639442616604</v>
      </c>
      <c r="AA19" s="72"/>
      <c r="AB19" s="43">
        <f t="shared" si="3"/>
        <v>2.21</v>
      </c>
      <c r="AC19" s="48">
        <f t="shared" si="4"/>
        <v>1177.4990858549288</v>
      </c>
      <c r="AD19" s="48">
        <f t="shared" si="5"/>
        <v>2602.2729797393927</v>
      </c>
      <c r="AE19" s="72"/>
      <c r="AF19" s="51">
        <f t="shared" si="21"/>
        <v>-1.6272965879265078E-2</v>
      </c>
      <c r="AG19" s="51">
        <f t="shared" si="7"/>
        <v>-1.85804533630618E-3</v>
      </c>
      <c r="AH19" s="51">
        <f t="shared" si="8"/>
        <v>-2.5327721471126718E-3</v>
      </c>
      <c r="AI19" s="45"/>
      <c r="AJ19" s="10">
        <f t="shared" si="9"/>
        <v>0.21720128677744044</v>
      </c>
      <c r="AK19" s="47">
        <f t="shared" si="10"/>
        <v>26.891888972626884</v>
      </c>
      <c r="AL19" s="51">
        <f t="shared" si="11"/>
        <v>-6.7347546286367077E-4</v>
      </c>
      <c r="AM19" s="45"/>
      <c r="AN19" s="46">
        <f t="shared" si="20"/>
        <v>2.6022729797393929</v>
      </c>
      <c r="AO19" s="51">
        <f t="shared" si="12"/>
        <v>-6.8121293955802908E-3</v>
      </c>
      <c r="AP19" s="45"/>
      <c r="AQ19" s="46">
        <f t="shared" si="13"/>
        <v>2.6040255467389204</v>
      </c>
      <c r="AR19" s="51">
        <f t="shared" si="14"/>
        <v>-6.1345224823485811E-3</v>
      </c>
      <c r="AS19" s="45"/>
      <c r="AT19" s="147">
        <f t="shared" si="15"/>
        <v>10.340959695433233</v>
      </c>
      <c r="AU19" s="51">
        <f t="shared" si="16"/>
        <v>6.7302219892673154E-4</v>
      </c>
      <c r="AV19" s="45"/>
      <c r="AW19" s="47">
        <f t="shared" si="17"/>
        <v>10.270992366412214</v>
      </c>
      <c r="AX19" s="51">
        <f t="shared" si="18"/>
        <v>-6.1345224823485811E-3</v>
      </c>
      <c r="AY19" s="72"/>
      <c r="AZ19" s="54">
        <f t="shared" si="24"/>
        <v>0.15484189099054682</v>
      </c>
      <c r="BA19" s="54">
        <f t="shared" si="24"/>
        <v>16.250686122655399</v>
      </c>
      <c r="BB19" s="54">
        <f t="shared" si="24"/>
        <v>75.937785619885034</v>
      </c>
      <c r="BC19" s="45"/>
      <c r="BD19" s="158" t="s">
        <v>201</v>
      </c>
      <c r="BE19" s="55"/>
      <c r="BF19" s="89"/>
    </row>
    <row r="20" spans="2:58" s="43" customFormat="1" x14ac:dyDescent="0.2">
      <c r="B20" s="88"/>
      <c r="C20" s="43" t="s">
        <v>93</v>
      </c>
      <c r="D20" s="43">
        <v>1889</v>
      </c>
      <c r="E20" s="43" t="s">
        <v>87</v>
      </c>
      <c r="F20" s="43" t="s">
        <v>94</v>
      </c>
      <c r="G20" s="43" t="s">
        <v>95</v>
      </c>
      <c r="I20" s="44"/>
      <c r="J20" s="44"/>
      <c r="K20" s="72"/>
      <c r="O20" s="46">
        <v>26.96</v>
      </c>
      <c r="P20" s="72"/>
      <c r="Q20" s="52">
        <v>38.1</v>
      </c>
      <c r="R20" s="72"/>
      <c r="S20" s="52">
        <v>26.91</v>
      </c>
      <c r="T20" s="47">
        <v>38.07</v>
      </c>
      <c r="U20" s="47">
        <v>2.66</v>
      </c>
      <c r="V20" s="132">
        <v>0.185</v>
      </c>
      <c r="W20" s="49">
        <v>2.62</v>
      </c>
      <c r="X20" s="72"/>
      <c r="Y20" s="147">
        <f t="shared" si="1"/>
        <v>10.334</v>
      </c>
      <c r="Z20" s="48">
        <f t="shared" si="2"/>
        <v>2608.8639442616604</v>
      </c>
      <c r="AA20" s="72"/>
      <c r="AB20" s="43">
        <f t="shared" si="3"/>
        <v>2.29</v>
      </c>
      <c r="AC20" s="48">
        <f t="shared" si="4"/>
        <v>1138.2971146261905</v>
      </c>
      <c r="AD20" s="48">
        <f>IF(OR(AC20="",AB20=""),"",AC20*AB20)</f>
        <v>2606.7003924939763</v>
      </c>
      <c r="AE20" s="72"/>
      <c r="AF20" s="51">
        <f t="shared" si="21"/>
        <v>7.8740157480317041E-4</v>
      </c>
      <c r="AG20" s="51">
        <f t="shared" si="7"/>
        <v>-1.85804533630618E-3</v>
      </c>
      <c r="AH20" s="51">
        <f t="shared" si="8"/>
        <v>-8.299963332625282E-4</v>
      </c>
      <c r="AI20" s="45"/>
      <c r="AJ20" s="10">
        <f t="shared" si="9"/>
        <v>0.18404965419841446</v>
      </c>
      <c r="AK20" s="47">
        <f t="shared" si="10"/>
        <v>26.937641856032752</v>
      </c>
      <c r="AL20" s="51">
        <f t="shared" si="11"/>
        <v>1.0261423839726946E-3</v>
      </c>
      <c r="AM20" s="45"/>
      <c r="AN20" s="46">
        <f t="shared" si="20"/>
        <v>2.6067003924939764</v>
      </c>
      <c r="AO20" s="51">
        <f t="shared" si="12"/>
        <v>-5.1020852048513365E-3</v>
      </c>
      <c r="AP20" s="45"/>
      <c r="AQ20" s="46">
        <f t="shared" si="13"/>
        <v>2.6040255467389204</v>
      </c>
      <c r="AR20" s="51">
        <f t="shared" si="14"/>
        <v>-6.1345224823485811E-3</v>
      </c>
      <c r="AS20" s="45"/>
      <c r="AT20" s="147">
        <f t="shared" si="15"/>
        <v>10.323395844604027</v>
      </c>
      <c r="AU20" s="51">
        <f t="shared" si="16"/>
        <v>-1.0271964337698059E-3</v>
      </c>
      <c r="AV20" s="45"/>
      <c r="AW20" s="47">
        <f t="shared" si="17"/>
        <v>10.270992366412214</v>
      </c>
      <c r="AX20" s="51">
        <f t="shared" si="18"/>
        <v>-6.1345224823485811E-3</v>
      </c>
      <c r="AY20" s="72"/>
      <c r="AZ20" s="54">
        <f t="shared" si="24"/>
        <v>0.15484189099054682</v>
      </c>
      <c r="BA20" s="54">
        <f t="shared" si="24"/>
        <v>16.250686122655399</v>
      </c>
      <c r="BB20" s="54">
        <f t="shared" si="24"/>
        <v>75.937785619885034</v>
      </c>
      <c r="BC20" s="45"/>
      <c r="BD20" s="162" t="s">
        <v>201</v>
      </c>
      <c r="BE20" s="55" t="s">
        <v>186</v>
      </c>
      <c r="BF20" s="89"/>
    </row>
    <row r="21" spans="2:58" s="43" customFormat="1" x14ac:dyDescent="0.2">
      <c r="B21" s="88"/>
      <c r="C21" s="15" t="s">
        <v>93</v>
      </c>
      <c r="D21" s="15">
        <v>1881</v>
      </c>
      <c r="E21" s="127" t="s">
        <v>96</v>
      </c>
      <c r="F21" s="15" t="s">
        <v>94</v>
      </c>
      <c r="G21" s="15" t="s">
        <v>95</v>
      </c>
      <c r="H21" s="127" t="s">
        <v>57</v>
      </c>
      <c r="I21" s="16" t="s">
        <v>30</v>
      </c>
      <c r="J21" s="16"/>
      <c r="K21" s="27"/>
      <c r="L21" s="15"/>
      <c r="M21" s="15"/>
      <c r="N21" s="15"/>
      <c r="O21" s="17">
        <v>26.96</v>
      </c>
      <c r="P21" s="27"/>
      <c r="Q21" s="35">
        <v>38.1</v>
      </c>
      <c r="R21" s="27"/>
      <c r="S21" s="126">
        <v>20.89</v>
      </c>
      <c r="T21" s="126">
        <v>37.729999999999997</v>
      </c>
      <c r="U21" s="126">
        <v>2.83</v>
      </c>
      <c r="V21" s="133">
        <v>0.33</v>
      </c>
      <c r="W21" s="40">
        <v>2.37</v>
      </c>
      <c r="X21" s="27"/>
      <c r="Y21" s="148">
        <f t="shared" si="1"/>
        <v>8.6427999999999994</v>
      </c>
      <c r="Z21" s="19">
        <f t="shared" si="2"/>
        <v>3119.3594668394503</v>
      </c>
      <c r="AA21" s="27"/>
      <c r="AB21" s="15">
        <f t="shared" si="3"/>
        <v>2.17</v>
      </c>
      <c r="AC21" s="19">
        <f t="shared" si="4"/>
        <v>1118.055833159111</v>
      </c>
      <c r="AD21" s="19">
        <f t="shared" ref="AD21:AD49" si="25">IF(OR(AC21="",AB21=""),"",AC21*AB21)</f>
        <v>2426.1811579552709</v>
      </c>
      <c r="AE21" s="27"/>
      <c r="AF21" s="30">
        <f t="shared" si="21"/>
        <v>9.7112860892389907E-3</v>
      </c>
      <c r="AG21" s="30">
        <f t="shared" si="7"/>
        <v>-0.29056965055050266</v>
      </c>
      <c r="AH21" s="30">
        <f t="shared" si="8"/>
        <v>-0.28570756417396881</v>
      </c>
      <c r="AI21" s="38"/>
      <c r="AJ21" s="17">
        <f t="shared" si="9"/>
        <v>2.0007292871243809E-2</v>
      </c>
      <c r="AK21" s="18">
        <f t="shared" si="10"/>
        <v>20.968998511975812</v>
      </c>
      <c r="AL21" s="30">
        <f t="shared" si="11"/>
        <v>3.7673955640129542E-3</v>
      </c>
      <c r="AM21" s="38"/>
      <c r="AN21" s="17">
        <f t="shared" si="20"/>
        <v>2.4261811579552708</v>
      </c>
      <c r="AO21" s="30">
        <f t="shared" si="12"/>
        <v>2.3156208995794403E-2</v>
      </c>
      <c r="AP21" s="38"/>
      <c r="AQ21" s="17">
        <f t="shared" si="13"/>
        <v>2.4170407738232984</v>
      </c>
      <c r="AR21" s="30">
        <f t="shared" si="14"/>
        <v>1.946213499281968E-2</v>
      </c>
      <c r="AS21" s="38"/>
      <c r="AT21" s="148">
        <f t="shared" si="15"/>
        <v>8.6102391536193466</v>
      </c>
      <c r="AU21" s="30">
        <f t="shared" si="16"/>
        <v>-3.7816425072194626E-3</v>
      </c>
      <c r="AV21" s="38"/>
      <c r="AW21" s="18">
        <f t="shared" si="17"/>
        <v>8.814345991561181</v>
      </c>
      <c r="AX21" s="30">
        <f t="shared" si="18"/>
        <v>1.9462134992819569E-2</v>
      </c>
      <c r="AY21" s="27"/>
      <c r="AZ21" s="20">
        <f t="shared" si="24"/>
        <v>0.12020241927880056</v>
      </c>
      <c r="BA21" s="20">
        <f t="shared" si="24"/>
        <v>12.615266930593506</v>
      </c>
      <c r="BB21" s="20">
        <f t="shared" si="24"/>
        <v>58.94984547006311</v>
      </c>
      <c r="BC21" s="38"/>
      <c r="BD21" s="34"/>
      <c r="BE21" s="34"/>
      <c r="BF21" s="89"/>
    </row>
    <row r="22" spans="2:58" s="43" customFormat="1" x14ac:dyDescent="0.2">
      <c r="B22" s="88"/>
      <c r="C22" s="21" t="s">
        <v>29</v>
      </c>
      <c r="D22" s="21">
        <v>1990</v>
      </c>
      <c r="E22" s="21" t="s">
        <v>18</v>
      </c>
      <c r="F22" s="21" t="s">
        <v>30</v>
      </c>
      <c r="G22" s="21" t="s">
        <v>37</v>
      </c>
      <c r="H22" s="21"/>
      <c r="I22" s="22"/>
      <c r="J22" s="22"/>
      <c r="K22" s="108"/>
      <c r="L22" s="21"/>
      <c r="M22" s="21">
        <v>1</v>
      </c>
      <c r="N22" s="21"/>
      <c r="O22" s="23">
        <f>IF(L22&lt;&gt;"",L22*GramsPerTroyOz,IF(M22&lt;&gt;"",M22*GramsPerOz,IF(N22&lt;&gt;"",N22*GramsPerGrain,"")))</f>
        <v>28.349523000000001</v>
      </c>
      <c r="P22" s="108"/>
      <c r="Q22" s="36" t="s">
        <v>205</v>
      </c>
      <c r="R22" s="108"/>
      <c r="S22" s="36">
        <v>28.39</v>
      </c>
      <c r="T22" s="24">
        <v>39.33</v>
      </c>
      <c r="U22" s="24">
        <v>3.2</v>
      </c>
      <c r="V22" s="134">
        <v>0.3</v>
      </c>
      <c r="W22" s="41">
        <v>3.18</v>
      </c>
      <c r="X22" s="108"/>
      <c r="Y22" s="149">
        <f t="shared" si="1"/>
        <v>8.93</v>
      </c>
      <c r="Z22" s="25">
        <f t="shared" si="2"/>
        <v>3174.6386338185894</v>
      </c>
      <c r="AA22" s="108"/>
      <c r="AB22" s="21">
        <f t="shared" si="3"/>
        <v>2.6</v>
      </c>
      <c r="AC22" s="25">
        <f t="shared" si="4"/>
        <v>1214.8922851133632</v>
      </c>
      <c r="AD22" s="25">
        <f t="shared" si="25"/>
        <v>3158.7199412947443</v>
      </c>
      <c r="AE22" s="108"/>
      <c r="AF22" s="31" t="str">
        <f t="shared" si="21"/>
        <v/>
      </c>
      <c r="AG22" s="31">
        <f t="shared" si="7"/>
        <v>1.4257485029939287E-3</v>
      </c>
      <c r="AH22" s="31">
        <f t="shared" si="8"/>
        <v>-5.0396023768159992E-3</v>
      </c>
      <c r="AI22" s="39"/>
      <c r="AJ22" s="23">
        <f t="shared" si="9"/>
        <v>0.29344851691013929</v>
      </c>
      <c r="AK22" s="24">
        <f t="shared" si="10"/>
        <v>28.207369075762063</v>
      </c>
      <c r="AL22" s="31">
        <f t="shared" si="11"/>
        <v>-6.4745820054117331E-3</v>
      </c>
      <c r="AM22" s="39"/>
      <c r="AN22" s="23">
        <f t="shared" si="20"/>
        <v>3.1587199412947444</v>
      </c>
      <c r="AO22" s="31">
        <f t="shared" si="12"/>
        <v>-6.7369247988895431E-3</v>
      </c>
      <c r="AP22" s="39"/>
      <c r="AQ22" s="23">
        <f t="shared" si="13"/>
        <v>3.1791713325867863</v>
      </c>
      <c r="AR22" s="31">
        <f t="shared" si="14"/>
        <v>-2.6065516026774205E-4</v>
      </c>
      <c r="AS22" s="39"/>
      <c r="AT22" s="149">
        <f t="shared" si="15"/>
        <v>8.9878180173083262</v>
      </c>
      <c r="AU22" s="31">
        <f t="shared" si="16"/>
        <v>6.4329314631185186E-3</v>
      </c>
      <c r="AV22" s="39"/>
      <c r="AW22" s="24">
        <f t="shared" si="17"/>
        <v>8.9276729559748418</v>
      </c>
      <c r="AX22" s="31">
        <f t="shared" si="18"/>
        <v>-2.6065516026774205E-4</v>
      </c>
      <c r="AY22" s="108"/>
      <c r="AZ22" s="26">
        <f t="shared" si="19"/>
        <v>0.16335790729177346</v>
      </c>
      <c r="BA22" s="26">
        <f t="shared" si="19"/>
        <v>17.144443664889881</v>
      </c>
      <c r="BB22" s="26">
        <f t="shared" si="19"/>
        <v>80.114222733130276</v>
      </c>
      <c r="BC22" s="39"/>
      <c r="BD22" s="37"/>
      <c r="BE22" s="37" t="s">
        <v>109</v>
      </c>
      <c r="BF22" s="89"/>
    </row>
    <row r="23" spans="2:58" s="43" customFormat="1" x14ac:dyDescent="0.2">
      <c r="B23" s="88"/>
      <c r="C23" s="43" t="s">
        <v>33</v>
      </c>
      <c r="D23" s="43">
        <v>1972</v>
      </c>
      <c r="E23" s="43" t="s">
        <v>88</v>
      </c>
      <c r="F23" s="43" t="s">
        <v>178</v>
      </c>
      <c r="G23" s="43" t="s">
        <v>206</v>
      </c>
      <c r="I23" s="44">
        <v>2000</v>
      </c>
      <c r="J23" s="44"/>
      <c r="K23" s="72"/>
      <c r="O23" s="46">
        <v>25.15</v>
      </c>
      <c r="P23" s="72"/>
      <c r="Q23" s="52">
        <v>40.6</v>
      </c>
      <c r="R23" s="72"/>
      <c r="S23" s="52">
        <v>25.08</v>
      </c>
      <c r="T23" s="47">
        <v>40.26</v>
      </c>
      <c r="U23" s="47">
        <v>2.4500000000000002</v>
      </c>
      <c r="V23" s="132">
        <v>0.28999999999999998</v>
      </c>
      <c r="W23" s="49">
        <v>2.44</v>
      </c>
      <c r="X23" s="72"/>
      <c r="Y23" s="147">
        <f t="shared" si="1"/>
        <v>10.373000000000001</v>
      </c>
      <c r="Z23" s="48">
        <f t="shared" si="2"/>
        <v>2424.5637713294127</v>
      </c>
      <c r="AA23" s="72"/>
      <c r="AB23" s="43">
        <f t="shared" si="3"/>
        <v>1.87</v>
      </c>
      <c r="AC23" s="48">
        <f t="shared" si="4"/>
        <v>1273.0264361504296</v>
      </c>
      <c r="AD23" s="48">
        <f t="shared" si="25"/>
        <v>2380.5594356013034</v>
      </c>
      <c r="AE23" s="72"/>
      <c r="AF23" s="51">
        <f t="shared" si="21"/>
        <v>8.3743842364533139E-3</v>
      </c>
      <c r="AG23" s="51">
        <f t="shared" si="7"/>
        <v>-2.7910685805423441E-3</v>
      </c>
      <c r="AH23" s="51">
        <f t="shared" si="8"/>
        <v>-1.8484871694452787E-2</v>
      </c>
      <c r="AI23" s="45"/>
      <c r="AJ23" s="10">
        <f t="shared" si="9"/>
        <v>0.27271664496568659</v>
      </c>
      <c r="AK23" s="47">
        <f t="shared" si="10"/>
        <v>24.693543025492325</v>
      </c>
      <c r="AL23" s="51">
        <f t="shared" si="11"/>
        <v>-1.5650122548583445E-2</v>
      </c>
      <c r="AM23" s="45"/>
      <c r="AN23" s="46">
        <f t="shared" si="20"/>
        <v>2.3805594356013033</v>
      </c>
      <c r="AO23" s="51">
        <f t="shared" si="12"/>
        <v>-2.4969157883547144E-2</v>
      </c>
      <c r="AP23" s="45"/>
      <c r="AQ23" s="46">
        <f t="shared" si="13"/>
        <v>2.4178154825026508</v>
      </c>
      <c r="AR23" s="51">
        <f t="shared" si="14"/>
        <v>-9.175438596491281E-3</v>
      </c>
      <c r="AS23" s="45"/>
      <c r="AT23" s="147">
        <f t="shared" si="15"/>
        <v>10.535338721196458</v>
      </c>
      <c r="AU23" s="51">
        <f t="shared" si="16"/>
        <v>1.5408970275425649E-2</v>
      </c>
      <c r="AV23" s="45"/>
      <c r="AW23" s="47">
        <f t="shared" si="17"/>
        <v>10.278688524590164</v>
      </c>
      <c r="AX23" s="51">
        <f t="shared" si="18"/>
        <v>-9.175438596491281E-3</v>
      </c>
      <c r="AY23" s="72"/>
      <c r="AZ23" s="54">
        <f t="shared" si="19"/>
        <v>0.14431195191538143</v>
      </c>
      <c r="BA23" s="54">
        <f t="shared" si="19"/>
        <v>15.14556699948708</v>
      </c>
      <c r="BB23" s="54">
        <f t="shared" si="19"/>
        <v>70.773677567696637</v>
      </c>
      <c r="BC23" s="45"/>
      <c r="BD23" s="158" t="s">
        <v>201</v>
      </c>
      <c r="BE23" s="55"/>
      <c r="BF23" s="89"/>
    </row>
    <row r="24" spans="2:58" s="43" customFormat="1" x14ac:dyDescent="0.2">
      <c r="B24" s="88"/>
      <c r="C24" s="43" t="s">
        <v>33</v>
      </c>
      <c r="D24" s="43">
        <v>1994</v>
      </c>
      <c r="E24" s="43" t="s">
        <v>53</v>
      </c>
      <c r="F24" s="43" t="s">
        <v>179</v>
      </c>
      <c r="G24" s="43" t="s">
        <v>34</v>
      </c>
      <c r="I24" s="44">
        <v>1111</v>
      </c>
      <c r="J24" s="44"/>
      <c r="K24" s="72"/>
      <c r="O24" s="49">
        <v>26.34</v>
      </c>
      <c r="P24" s="72"/>
      <c r="Q24" s="52">
        <v>39</v>
      </c>
      <c r="R24" s="72"/>
      <c r="S24" s="52">
        <v>26.21</v>
      </c>
      <c r="T24" s="47">
        <v>39.03</v>
      </c>
      <c r="U24" s="47">
        <v>2.89</v>
      </c>
      <c r="V24" s="132">
        <v>0.21</v>
      </c>
      <c r="W24" s="49">
        <v>3</v>
      </c>
      <c r="X24" s="72"/>
      <c r="Y24" s="147">
        <f t="shared" si="1"/>
        <v>8.8975000000000009</v>
      </c>
      <c r="Z24" s="48">
        <f t="shared" si="2"/>
        <v>2960.3821298117446</v>
      </c>
      <c r="AA24" s="72"/>
      <c r="AB24" s="43">
        <f t="shared" si="3"/>
        <v>2.4700000000000002</v>
      </c>
      <c r="AC24" s="48">
        <f t="shared" si="4"/>
        <v>1196.429145088216</v>
      </c>
      <c r="AD24" s="48">
        <f t="shared" si="25"/>
        <v>2955.1799883678937</v>
      </c>
      <c r="AE24" s="72"/>
      <c r="AF24" s="51">
        <f t="shared" si="21"/>
        <v>-7.6923076923085532E-4</v>
      </c>
      <c r="AG24" s="51">
        <f t="shared" si="7"/>
        <v>-4.9599389545973427E-3</v>
      </c>
      <c r="AH24" s="51">
        <f t="shared" si="8"/>
        <v>-1.7603467349966984E-3</v>
      </c>
      <c r="AI24" s="45"/>
      <c r="AJ24" s="10">
        <f t="shared" si="9"/>
        <v>0.20782597178227924</v>
      </c>
      <c r="AK24" s="47">
        <f t="shared" si="10"/>
        <v>26.293713946503335</v>
      </c>
      <c r="AL24" s="51">
        <f t="shared" si="11"/>
        <v>3.183800762176725E-3</v>
      </c>
      <c r="AM24" s="45"/>
      <c r="AN24" s="46">
        <f t="shared" si="20"/>
        <v>2.9551799883678935</v>
      </c>
      <c r="AO24" s="51">
        <f t="shared" si="12"/>
        <v>-1.5166592833101733E-2</v>
      </c>
      <c r="AP24" s="45"/>
      <c r="AQ24" s="46">
        <f t="shared" si="13"/>
        <v>2.9457712840685586</v>
      </c>
      <c r="AR24" s="51">
        <f t="shared" si="14"/>
        <v>-1.8409004196871415E-2</v>
      </c>
      <c r="AS24" s="45"/>
      <c r="AT24" s="147">
        <f t="shared" si="15"/>
        <v>8.869172132718532</v>
      </c>
      <c r="AU24" s="51">
        <f t="shared" si="16"/>
        <v>-3.1939697254230737E-3</v>
      </c>
      <c r="AV24" s="45"/>
      <c r="AW24" s="47">
        <f t="shared" si="17"/>
        <v>8.7366666666666664</v>
      </c>
      <c r="AX24" s="51">
        <f t="shared" si="18"/>
        <v>-1.8409004196871637E-2</v>
      </c>
      <c r="AY24" s="72"/>
      <c r="AZ24" s="54">
        <f t="shared" si="19"/>
        <v>0.15081404544266935</v>
      </c>
      <c r="BA24" s="54">
        <f t="shared" si="19"/>
        <v>15.827962960787735</v>
      </c>
      <c r="BB24" s="54">
        <f t="shared" si="19"/>
        <v>73.962443741998769</v>
      </c>
      <c r="BC24" s="45"/>
      <c r="BD24" s="55"/>
      <c r="BE24" s="55"/>
      <c r="BF24" s="89"/>
    </row>
    <row r="25" spans="2:58" s="43" customFormat="1" x14ac:dyDescent="0.2">
      <c r="B25" s="88"/>
      <c r="C25" s="43" t="s">
        <v>33</v>
      </c>
      <c r="D25" s="43">
        <v>2012</v>
      </c>
      <c r="E25" s="43" t="s">
        <v>88</v>
      </c>
      <c r="F25" s="43" t="s">
        <v>58</v>
      </c>
      <c r="G25" s="43" t="s">
        <v>208</v>
      </c>
      <c r="I25" s="165"/>
      <c r="J25" s="44">
        <v>278</v>
      </c>
      <c r="K25" s="72"/>
      <c r="M25" s="43">
        <v>1</v>
      </c>
      <c r="O25" s="46">
        <f>IF(L25&lt;&gt;"",L25*GramsPerTroyOz,IF(M25&lt;&gt;"",M25*GramsPerOz,IF(N25&lt;&gt;"",N25*GramsPerGrain,"")))</f>
        <v>28.349523000000001</v>
      </c>
      <c r="P25" s="72"/>
      <c r="Q25" s="52"/>
      <c r="R25" s="72"/>
      <c r="S25" s="52">
        <v>28.41</v>
      </c>
      <c r="T25" s="47">
        <v>38.75</v>
      </c>
      <c r="U25" s="47">
        <v>2.85</v>
      </c>
      <c r="V25" s="132">
        <v>0.27</v>
      </c>
      <c r="W25" s="49">
        <v>2.77</v>
      </c>
      <c r="X25" s="72"/>
      <c r="Y25" s="147">
        <f t="shared" si="1"/>
        <v>10.373000000000001</v>
      </c>
      <c r="Z25" s="48">
        <f t="shared" si="2"/>
        <v>2733.0109900703746</v>
      </c>
      <c r="AA25" s="72"/>
      <c r="AB25" s="43">
        <f t="shared" si="3"/>
        <v>2.31</v>
      </c>
      <c r="AC25" s="48">
        <f t="shared" si="4"/>
        <v>1179.324429726481</v>
      </c>
      <c r="AD25" s="48">
        <f t="shared" si="25"/>
        <v>2724.239432668171</v>
      </c>
      <c r="AE25" s="72"/>
      <c r="AF25" s="51" t="str">
        <f t="shared" si="21"/>
        <v/>
      </c>
      <c r="AG25" s="51">
        <f t="shared" si="7"/>
        <v>2.1287222808870077E-3</v>
      </c>
      <c r="AH25" s="51">
        <f t="shared" si="8"/>
        <v>-3.2198188224639157E-3</v>
      </c>
      <c r="AI25" s="45"/>
      <c r="AJ25" s="10">
        <f t="shared" si="9"/>
        <v>0.26628110926005411</v>
      </c>
      <c r="AK25" s="47">
        <f t="shared" si="10"/>
        <v>28.258535635066941</v>
      </c>
      <c r="AL25" s="51">
        <f t="shared" si="11"/>
        <v>-5.3599509503634568E-3</v>
      </c>
      <c r="AM25" s="45"/>
      <c r="AN25" s="46">
        <f t="shared" si="20"/>
        <v>2.7242394326681709</v>
      </c>
      <c r="AO25" s="51">
        <f t="shared" si="12"/>
        <v>-1.6797557066050572E-2</v>
      </c>
      <c r="AP25" s="45"/>
      <c r="AQ25" s="46">
        <f t="shared" si="13"/>
        <v>2.7388412224043188</v>
      </c>
      <c r="AR25" s="51">
        <f t="shared" si="14"/>
        <v>-1.1376627947905726E-2</v>
      </c>
      <c r="AS25" s="45"/>
      <c r="AT25" s="147">
        <f t="shared" si="15"/>
        <v>10.428598771208122</v>
      </c>
      <c r="AU25" s="51">
        <f t="shared" si="16"/>
        <v>5.3313750416423833E-3</v>
      </c>
      <c r="AV25" s="45"/>
      <c r="AW25" s="47">
        <f t="shared" si="17"/>
        <v>10.256317689530686</v>
      </c>
      <c r="AX25" s="51">
        <f t="shared" si="18"/>
        <v>-1.1376627947905726E-2</v>
      </c>
      <c r="AY25" s="72"/>
      <c r="AZ25" s="54">
        <f t="shared" si="19"/>
        <v>0.16347298859314138</v>
      </c>
      <c r="BA25" s="54">
        <f t="shared" si="19"/>
        <v>17.156521469514672</v>
      </c>
      <c r="BB25" s="54">
        <f t="shared" si="19"/>
        <v>80.170661072498476</v>
      </c>
      <c r="BC25" s="45"/>
      <c r="BD25" s="55"/>
      <c r="BE25" s="55"/>
      <c r="BF25" s="89"/>
    </row>
    <row r="26" spans="2:58" s="43" customFormat="1" x14ac:dyDescent="0.2">
      <c r="B26" s="88"/>
      <c r="C26" s="109" t="s">
        <v>33</v>
      </c>
      <c r="D26" s="109">
        <v>1994</v>
      </c>
      <c r="E26" s="109" t="s">
        <v>21</v>
      </c>
      <c r="F26" s="109" t="s">
        <v>45</v>
      </c>
      <c r="G26" s="109" t="s">
        <v>207</v>
      </c>
      <c r="H26" s="109"/>
      <c r="I26" s="110">
        <v>20000</v>
      </c>
      <c r="J26" s="110"/>
      <c r="K26" s="27"/>
      <c r="L26" s="164">
        <v>1</v>
      </c>
      <c r="M26" s="109"/>
      <c r="N26" s="109"/>
      <c r="O26" s="163">
        <v>31.134</v>
      </c>
      <c r="P26" s="27"/>
      <c r="Q26" s="114">
        <v>39</v>
      </c>
      <c r="R26" s="27"/>
      <c r="S26" s="114">
        <v>31.25</v>
      </c>
      <c r="T26" s="112">
        <v>39.03</v>
      </c>
      <c r="U26" s="112">
        <v>2.89</v>
      </c>
      <c r="V26" s="135">
        <v>0.2</v>
      </c>
      <c r="W26" s="124">
        <v>3</v>
      </c>
      <c r="X26" s="27"/>
      <c r="Y26" s="150">
        <f t="shared" si="1"/>
        <v>10.49</v>
      </c>
      <c r="Z26" s="113">
        <f t="shared" si="2"/>
        <v>2967.9694947569114</v>
      </c>
      <c r="AA26" s="27"/>
      <c r="AB26" s="109">
        <f t="shared" si="3"/>
        <v>2.4900000000000002</v>
      </c>
      <c r="AC26" s="113">
        <f t="shared" si="4"/>
        <v>1196.429145088216</v>
      </c>
      <c r="AD26" s="19">
        <f t="shared" si="25"/>
        <v>2979.1085712696581</v>
      </c>
      <c r="AE26" s="27"/>
      <c r="AF26" s="116">
        <f t="shared" si="21"/>
        <v>-7.6923076923085532E-4</v>
      </c>
      <c r="AG26" s="116">
        <f t="shared" si="7"/>
        <v>3.7119999999999376E-3</v>
      </c>
      <c r="AH26" s="116">
        <f t="shared" si="8"/>
        <v>3.7390636313732184E-3</v>
      </c>
      <c r="AI26" s="115"/>
      <c r="AJ26" s="17">
        <f t="shared" si="9"/>
        <v>0.20465513422105963</v>
      </c>
      <c r="AK26" s="112">
        <f t="shared" si="10"/>
        <v>31.250848912618714</v>
      </c>
      <c r="AL26" s="116">
        <f t="shared" si="11"/>
        <v>2.7164465870588295E-5</v>
      </c>
      <c r="AM26" s="115"/>
      <c r="AN26" s="111">
        <f t="shared" si="20"/>
        <v>2.9791085712696583</v>
      </c>
      <c r="AO26" s="116">
        <f t="shared" si="12"/>
        <v>-7.0126442962896718E-3</v>
      </c>
      <c r="AP26" s="115"/>
      <c r="AQ26" s="111">
        <f t="shared" si="13"/>
        <v>2.979027645376549</v>
      </c>
      <c r="AR26" s="116">
        <f t="shared" si="14"/>
        <v>-7.0399999999999352E-3</v>
      </c>
      <c r="AS26" s="115"/>
      <c r="AT26" s="150">
        <f t="shared" si="15"/>
        <v>10.489715044753018</v>
      </c>
      <c r="AU26" s="116">
        <f t="shared" si="16"/>
        <v>-2.7165203798862336E-5</v>
      </c>
      <c r="AV26" s="115"/>
      <c r="AW26" s="112">
        <f t="shared" si="17"/>
        <v>10.416666666666666</v>
      </c>
      <c r="AX26" s="116">
        <f t="shared" si="18"/>
        <v>-7.0400000000001572E-3</v>
      </c>
      <c r="AY26" s="27"/>
      <c r="AZ26" s="117">
        <f t="shared" si="19"/>
        <v>0.17981453338738715</v>
      </c>
      <c r="BA26" s="117">
        <f t="shared" si="19"/>
        <v>18.871569726234899</v>
      </c>
      <c r="BB26" s="117">
        <f t="shared" si="19"/>
        <v>88.184905262779907</v>
      </c>
      <c r="BC26" s="115"/>
      <c r="BD26" s="118"/>
      <c r="BE26" s="118"/>
      <c r="BF26" s="89"/>
    </row>
    <row r="27" spans="2:58" s="43" customFormat="1" x14ac:dyDescent="0.2">
      <c r="B27" s="88"/>
      <c r="C27" s="43" t="s">
        <v>35</v>
      </c>
      <c r="D27" s="43">
        <v>1890</v>
      </c>
      <c r="E27" s="43" t="s">
        <v>87</v>
      </c>
      <c r="F27" s="43" t="s">
        <v>45</v>
      </c>
      <c r="G27" s="43" t="s">
        <v>46</v>
      </c>
      <c r="H27" s="43" t="s">
        <v>55</v>
      </c>
      <c r="I27" s="44">
        <v>8230373</v>
      </c>
      <c r="J27" s="44"/>
      <c r="K27" s="72"/>
      <c r="O27" s="46">
        <v>26.73</v>
      </c>
      <c r="P27" s="72"/>
      <c r="Q27" s="52">
        <v>38.1</v>
      </c>
      <c r="R27" s="72"/>
      <c r="S27" s="52">
        <v>26.63</v>
      </c>
      <c r="T27" s="47">
        <v>37.729999999999997</v>
      </c>
      <c r="U27" s="47">
        <v>2.75</v>
      </c>
      <c r="V27" s="132">
        <v>0.22</v>
      </c>
      <c r="W27" s="49">
        <v>2.6</v>
      </c>
      <c r="X27" s="72"/>
      <c r="Y27" s="147">
        <f t="shared" si="1"/>
        <v>10.334</v>
      </c>
      <c r="Z27" s="48">
        <f t="shared" si="2"/>
        <v>2586.6073156570546</v>
      </c>
      <c r="AA27" s="72"/>
      <c r="AB27" s="43">
        <f t="shared" si="3"/>
        <v>2.31</v>
      </c>
      <c r="AC27" s="48">
        <f t="shared" si="4"/>
        <v>1118.055833159111</v>
      </c>
      <c r="AD27" s="48">
        <f t="shared" si="25"/>
        <v>2582.7089745975463</v>
      </c>
      <c r="AE27" s="72"/>
      <c r="AF27" s="51">
        <f t="shared" si="21"/>
        <v>9.7112860892389907E-3</v>
      </c>
      <c r="AG27" s="51">
        <f t="shared" si="7"/>
        <v>-3.7551633496057946E-3</v>
      </c>
      <c r="AH27" s="51">
        <f t="shared" si="8"/>
        <v>-1.5094000515933903E-3</v>
      </c>
      <c r="AI27" s="45"/>
      <c r="AJ27" s="10">
        <f t="shared" si="9"/>
        <v>0.21825664294040958</v>
      </c>
      <c r="AK27" s="47">
        <f t="shared" si="10"/>
        <v>26.689714543491043</v>
      </c>
      <c r="AL27" s="51">
        <f t="shared" si="11"/>
        <v>2.2373616395836571E-3</v>
      </c>
      <c r="AM27" s="45"/>
      <c r="AN27" s="46">
        <f t="shared" si="20"/>
        <v>2.5827089745975464</v>
      </c>
      <c r="AO27" s="51">
        <f t="shared" si="12"/>
        <v>-6.6949182321822676E-3</v>
      </c>
      <c r="AP27" s="45"/>
      <c r="AQ27" s="46">
        <f t="shared" si="13"/>
        <v>2.5769305206115733</v>
      </c>
      <c r="AR27" s="51">
        <f t="shared" si="14"/>
        <v>-8.9523094254599922E-3</v>
      </c>
      <c r="AS27" s="45"/>
      <c r="AT27" s="147">
        <f t="shared" si="15"/>
        <v>10.310879104816543</v>
      </c>
      <c r="AU27" s="51">
        <f t="shared" si="16"/>
        <v>-2.242378651559962E-3</v>
      </c>
      <c r="AV27" s="45"/>
      <c r="AW27" s="47">
        <f t="shared" si="17"/>
        <v>10.242307692307692</v>
      </c>
      <c r="AX27" s="51">
        <f t="shared" si="18"/>
        <v>-8.9523094254599922E-3</v>
      </c>
      <c r="AY27" s="72"/>
      <c r="AZ27" s="54">
        <f t="shared" si="19"/>
        <v>0.15323075277139583</v>
      </c>
      <c r="BA27" s="54">
        <f t="shared" si="19"/>
        <v>16.08159685790833</v>
      </c>
      <c r="BB27" s="54">
        <f t="shared" si="19"/>
        <v>75.147648868730528</v>
      </c>
      <c r="BC27" s="45"/>
      <c r="BD27" s="158" t="s">
        <v>201</v>
      </c>
      <c r="BE27" s="55"/>
      <c r="BF27" s="89"/>
    </row>
    <row r="28" spans="2:58" s="43" customFormat="1" x14ac:dyDescent="0.2">
      <c r="B28" s="88"/>
      <c r="C28" s="43" t="s">
        <v>35</v>
      </c>
      <c r="D28" s="43">
        <v>1922</v>
      </c>
      <c r="E28" s="43" t="s">
        <v>87</v>
      </c>
      <c r="F28" s="43" t="s">
        <v>45</v>
      </c>
      <c r="G28" s="43" t="s">
        <v>37</v>
      </c>
      <c r="H28" s="43" t="s">
        <v>56</v>
      </c>
      <c r="I28" s="44">
        <v>51737000</v>
      </c>
      <c r="J28" s="44"/>
      <c r="K28" s="72"/>
      <c r="O28" s="46">
        <v>26.73</v>
      </c>
      <c r="P28" s="72"/>
      <c r="Q28" s="52">
        <v>38.1</v>
      </c>
      <c r="R28" s="72"/>
      <c r="S28" s="52">
        <v>26.75</v>
      </c>
      <c r="T28" s="47">
        <v>38.049999999999997</v>
      </c>
      <c r="U28" s="47">
        <v>2.75</v>
      </c>
      <c r="V28" s="132">
        <v>0.24</v>
      </c>
      <c r="W28" s="49">
        <v>2.56</v>
      </c>
      <c r="X28" s="72"/>
      <c r="Y28" s="147">
        <f t="shared" si="1"/>
        <v>10.334</v>
      </c>
      <c r="Z28" s="48">
        <f t="shared" si="2"/>
        <v>2586.6073156570546</v>
      </c>
      <c r="AA28" s="72"/>
      <c r="AB28" s="43">
        <f t="shared" si="3"/>
        <v>2.27</v>
      </c>
      <c r="AC28" s="48">
        <f t="shared" si="4"/>
        <v>1137.101424462234</v>
      </c>
      <c r="AD28" s="48">
        <f t="shared" si="25"/>
        <v>2581.2202335292714</v>
      </c>
      <c r="AE28" s="72"/>
      <c r="AF28" s="51">
        <f t="shared" si="21"/>
        <v>1.312335958005395E-3</v>
      </c>
      <c r="AG28" s="51">
        <f t="shared" si="7"/>
        <v>7.4766355140187812E-4</v>
      </c>
      <c r="AH28" s="51">
        <f t="shared" si="8"/>
        <v>-2.0870292498900156E-3</v>
      </c>
      <c r="AI28" s="45"/>
      <c r="AJ28" s="10">
        <f t="shared" si="9"/>
        <v>0.23763122180137497</v>
      </c>
      <c r="AK28" s="47">
        <f t="shared" si="10"/>
        <v>26.674329893291489</v>
      </c>
      <c r="AL28" s="51">
        <f t="shared" si="11"/>
        <v>-2.8368137835597107E-3</v>
      </c>
      <c r="AM28" s="45"/>
      <c r="AN28" s="46">
        <f t="shared" si="20"/>
        <v>2.5812202335292715</v>
      </c>
      <c r="AO28" s="51">
        <f t="shared" si="12"/>
        <v>8.2210085190047577E-3</v>
      </c>
      <c r="AP28" s="45"/>
      <c r="AQ28" s="46">
        <f t="shared" si="13"/>
        <v>2.5885426746661508</v>
      </c>
      <c r="AR28" s="51">
        <f t="shared" si="14"/>
        <v>1.1026542056074895E-2</v>
      </c>
      <c r="AS28" s="45"/>
      <c r="AT28" s="147">
        <f t="shared" si="15"/>
        <v>10.363315633639308</v>
      </c>
      <c r="AU28" s="51">
        <f t="shared" si="16"/>
        <v>2.8287890358322798E-3</v>
      </c>
      <c r="AV28" s="45"/>
      <c r="AW28" s="47">
        <f t="shared" si="17"/>
        <v>10.44921875</v>
      </c>
      <c r="AX28" s="51">
        <f t="shared" si="18"/>
        <v>1.1026542056074784E-2</v>
      </c>
      <c r="AY28" s="72"/>
      <c r="AZ28" s="54">
        <f t="shared" si="19"/>
        <v>0.15392124057960338</v>
      </c>
      <c r="BA28" s="54">
        <f t="shared" si="19"/>
        <v>16.154063685657075</v>
      </c>
      <c r="BB28" s="54">
        <f t="shared" si="19"/>
        <v>75.486278904939596</v>
      </c>
      <c r="BC28" s="45"/>
      <c r="BD28" s="158" t="s">
        <v>201</v>
      </c>
      <c r="BE28" s="55"/>
      <c r="BF28" s="89"/>
    </row>
    <row r="29" spans="2:58" s="43" customFormat="1" x14ac:dyDescent="0.2">
      <c r="B29" s="88"/>
      <c r="C29" s="43" t="s">
        <v>35</v>
      </c>
      <c r="D29" s="43">
        <v>2015</v>
      </c>
      <c r="E29" s="43" t="s">
        <v>165</v>
      </c>
      <c r="F29" s="43" t="s">
        <v>5</v>
      </c>
      <c r="G29" s="43" t="s">
        <v>38</v>
      </c>
      <c r="I29" s="44">
        <v>980000</v>
      </c>
      <c r="J29" s="44"/>
      <c r="K29" s="72"/>
      <c r="L29" s="43">
        <v>0.1091</v>
      </c>
      <c r="O29" s="46">
        <f>IF(L29&lt;&gt;"",L29*GramsPerTroyOz,IF(M29&lt;&gt;"",M29*GramsPerOz,IF(N29&lt;&gt;"",N29*GramsPerGrain,"")))</f>
        <v>3.3933893188800002</v>
      </c>
      <c r="P29" s="72"/>
      <c r="Q29" s="52">
        <v>16.5</v>
      </c>
      <c r="R29" s="72"/>
      <c r="S29" s="52">
        <v>3.39</v>
      </c>
      <c r="T29" s="47">
        <v>16.510000000000002</v>
      </c>
      <c r="U29" s="47">
        <v>1.17</v>
      </c>
      <c r="V29" s="132">
        <v>0.157</v>
      </c>
      <c r="W29" s="49">
        <v>0.183</v>
      </c>
      <c r="X29" s="72"/>
      <c r="Y29" s="147">
        <f t="shared" si="1"/>
        <v>18.501312999999996</v>
      </c>
      <c r="Z29" s="48">
        <f t="shared" si="2"/>
        <v>183.41343227261768</v>
      </c>
      <c r="AA29" s="72"/>
      <c r="AB29" s="43">
        <f t="shared" si="3"/>
        <v>0.85599999999999987</v>
      </c>
      <c r="AC29" s="48">
        <f t="shared" si="4"/>
        <v>214.08390991869285</v>
      </c>
      <c r="AD29" s="48">
        <f t="shared" si="25"/>
        <v>183.25582689040107</v>
      </c>
      <c r="AE29" s="72"/>
      <c r="AF29" s="51">
        <f t="shared" si="21"/>
        <v>-6.0606060606072099E-4</v>
      </c>
      <c r="AG29" s="51">
        <f t="shared" si="7"/>
        <v>-9.9979907964597992E-4</v>
      </c>
      <c r="AH29" s="51">
        <f t="shared" si="8"/>
        <v>-8.6002930925022092E-4</v>
      </c>
      <c r="AI29" s="45"/>
      <c r="AJ29" s="10">
        <f t="shared" si="9"/>
        <v>0.15663190745564093</v>
      </c>
      <c r="AK29" s="47">
        <f t="shared" si="10"/>
        <v>3.3904734123731259</v>
      </c>
      <c r="AL29" s="51">
        <f t="shared" si="11"/>
        <v>1.3963016828211217E-4</v>
      </c>
      <c r="AM29" s="45"/>
      <c r="AN29" s="46">
        <f t="shared" si="20"/>
        <v>0.18325582689040107</v>
      </c>
      <c r="AO29" s="51">
        <f t="shared" si="12"/>
        <v>1.3960095825715779E-3</v>
      </c>
      <c r="AP29" s="45"/>
      <c r="AQ29" s="46">
        <f t="shared" si="13"/>
        <v>0.18323023884845366</v>
      </c>
      <c r="AR29" s="51">
        <f t="shared" si="14"/>
        <v>1.2565548672568427E-3</v>
      </c>
      <c r="AS29" s="45"/>
      <c r="AT29" s="147">
        <f t="shared" si="15"/>
        <v>18.498729658552364</v>
      </c>
      <c r="AU29" s="51">
        <f t="shared" si="16"/>
        <v>-1.3964966758872599E-4</v>
      </c>
      <c r="AV29" s="45"/>
      <c r="AW29" s="47">
        <f t="shared" si="17"/>
        <v>18.524590163934427</v>
      </c>
      <c r="AX29" s="51">
        <f t="shared" si="18"/>
        <v>1.2565548672568427E-3</v>
      </c>
      <c r="AY29" s="72"/>
      <c r="AZ29" s="54">
        <f t="shared" si="19"/>
        <v>1.9506280581863756E-2</v>
      </c>
      <c r="BA29" s="54">
        <f t="shared" si="19"/>
        <v>2.0471878839019619</v>
      </c>
      <c r="BB29" s="54">
        <f t="shared" si="19"/>
        <v>9.5662985229063633</v>
      </c>
      <c r="BC29" s="45"/>
      <c r="BD29" s="158" t="s">
        <v>201</v>
      </c>
      <c r="BE29" s="55" t="s">
        <v>182</v>
      </c>
      <c r="BF29" s="89"/>
    </row>
    <row r="30" spans="2:58" s="43" customFormat="1" x14ac:dyDescent="0.2">
      <c r="B30" s="88"/>
      <c r="I30" s="44"/>
      <c r="J30" s="44"/>
      <c r="K30" s="72"/>
      <c r="O30" s="46"/>
      <c r="P30" s="72"/>
      <c r="Q30" s="52"/>
      <c r="R30" s="72"/>
      <c r="S30" s="52"/>
      <c r="T30" s="47"/>
      <c r="U30" s="47"/>
      <c r="V30" s="132"/>
      <c r="W30" s="49"/>
      <c r="X30" s="72"/>
      <c r="Y30" s="147" t="str">
        <f t="shared" si="1"/>
        <v/>
      </c>
      <c r="Z30" s="48" t="str">
        <f t="shared" si="2"/>
        <v/>
      </c>
      <c r="AA30" s="72"/>
      <c r="AB30" s="43" t="str">
        <f t="shared" si="3"/>
        <v/>
      </c>
      <c r="AC30" s="48" t="str">
        <f t="shared" si="4"/>
        <v/>
      </c>
      <c r="AD30" s="48" t="str">
        <f t="shared" si="25"/>
        <v/>
      </c>
      <c r="AE30" s="72"/>
      <c r="AF30" s="51" t="str">
        <f t="shared" si="21"/>
        <v/>
      </c>
      <c r="AG30" s="51" t="str">
        <f t="shared" si="7"/>
        <v/>
      </c>
      <c r="AH30" s="51" t="str">
        <f t="shared" si="8"/>
        <v/>
      </c>
      <c r="AI30" s="45"/>
      <c r="AJ30" s="10" t="str">
        <f t="shared" si="9"/>
        <v/>
      </c>
      <c r="AK30" s="47" t="str">
        <f t="shared" si="10"/>
        <v/>
      </c>
      <c r="AL30" s="51" t="str">
        <f t="shared" si="11"/>
        <v/>
      </c>
      <c r="AM30" s="45"/>
      <c r="AN30" s="46" t="str">
        <f t="shared" si="20"/>
        <v/>
      </c>
      <c r="AO30" s="51" t="str">
        <f t="shared" si="12"/>
        <v/>
      </c>
      <c r="AP30" s="45"/>
      <c r="AQ30" s="46" t="str">
        <f t="shared" si="13"/>
        <v/>
      </c>
      <c r="AR30" s="51" t="str">
        <f t="shared" si="14"/>
        <v/>
      </c>
      <c r="AS30" s="45"/>
      <c r="AT30" s="147" t="str">
        <f t="shared" si="15"/>
        <v/>
      </c>
      <c r="AU30" s="51" t="str">
        <f t="shared" si="16"/>
        <v/>
      </c>
      <c r="AV30" s="45"/>
      <c r="AW30" s="47" t="str">
        <f t="shared" si="17"/>
        <v/>
      </c>
      <c r="AX30" s="51" t="str">
        <f t="shared" si="18"/>
        <v/>
      </c>
      <c r="AY30" s="72"/>
      <c r="AZ30" s="54" t="str">
        <f t="shared" si="19"/>
        <v/>
      </c>
      <c r="BA30" s="54" t="str">
        <f t="shared" si="19"/>
        <v/>
      </c>
      <c r="BB30" s="54" t="str">
        <f t="shared" si="19"/>
        <v/>
      </c>
      <c r="BC30" s="45"/>
      <c r="BD30" s="55"/>
      <c r="BE30" s="55"/>
      <c r="BF30" s="89"/>
    </row>
    <row r="31" spans="2:58" s="43" customFormat="1" x14ac:dyDescent="0.2">
      <c r="B31" s="88"/>
      <c r="I31" s="44"/>
      <c r="J31" s="44"/>
      <c r="K31" s="72"/>
      <c r="O31" s="46" t="str">
        <f>IF(L31&lt;&gt;"",L31*GramsPerTroyOz,IF(M31&lt;&gt;"",M31*GramsPerOz,IF(N31&lt;&gt;"",N31*GramsPerGrain,"")))</f>
        <v/>
      </c>
      <c r="P31" s="72"/>
      <c r="Q31" s="52"/>
      <c r="R31" s="72"/>
      <c r="S31" s="52"/>
      <c r="T31" s="47"/>
      <c r="U31" s="47"/>
      <c r="V31" s="132"/>
      <c r="W31" s="49"/>
      <c r="X31" s="72"/>
      <c r="Y31" s="147" t="str">
        <f t="shared" si="1"/>
        <v/>
      </c>
      <c r="Z31" s="48" t="str">
        <f t="shared" si="2"/>
        <v/>
      </c>
      <c r="AA31" s="72"/>
      <c r="AB31" s="43" t="str">
        <f t="shared" si="3"/>
        <v/>
      </c>
      <c r="AC31" s="48" t="str">
        <f t="shared" si="4"/>
        <v/>
      </c>
      <c r="AD31" s="48" t="str">
        <f t="shared" si="25"/>
        <v/>
      </c>
      <c r="AE31" s="72"/>
      <c r="AF31" s="51" t="str">
        <f t="shared" si="21"/>
        <v/>
      </c>
      <c r="AG31" s="51"/>
      <c r="AH31" s="51" t="str">
        <f t="shared" si="8"/>
        <v/>
      </c>
      <c r="AI31" s="45"/>
      <c r="AJ31" s="10" t="str">
        <f t="shared" si="9"/>
        <v/>
      </c>
      <c r="AK31" s="47" t="str">
        <f t="shared" si="10"/>
        <v/>
      </c>
      <c r="AL31" s="51" t="str">
        <f t="shared" si="11"/>
        <v/>
      </c>
      <c r="AM31" s="45"/>
      <c r="AN31" s="46" t="str">
        <f t="shared" si="20"/>
        <v/>
      </c>
      <c r="AO31" s="51" t="str">
        <f t="shared" si="12"/>
        <v/>
      </c>
      <c r="AP31" s="45"/>
      <c r="AQ31" s="46" t="str">
        <f t="shared" si="13"/>
        <v/>
      </c>
      <c r="AR31" s="51" t="str">
        <f t="shared" si="14"/>
        <v/>
      </c>
      <c r="AS31" s="45"/>
      <c r="AT31" s="147" t="str">
        <f t="shared" si="15"/>
        <v/>
      </c>
      <c r="AU31" s="51" t="str">
        <f t="shared" si="16"/>
        <v/>
      </c>
      <c r="AV31" s="45"/>
      <c r="AW31" s="47" t="str">
        <f t="shared" si="17"/>
        <v/>
      </c>
      <c r="AX31" s="51" t="str">
        <f t="shared" si="18"/>
        <v/>
      </c>
      <c r="AY31" s="72"/>
      <c r="AZ31" s="54" t="str">
        <f t="shared" si="19"/>
        <v/>
      </c>
      <c r="BA31" s="54" t="str">
        <f t="shared" si="19"/>
        <v/>
      </c>
      <c r="BB31" s="54" t="str">
        <f t="shared" si="19"/>
        <v/>
      </c>
      <c r="BC31" s="45"/>
      <c r="BD31" s="55"/>
      <c r="BE31" s="55"/>
      <c r="BF31" s="89"/>
    </row>
    <row r="32" spans="2:58" x14ac:dyDescent="0.2">
      <c r="B32" s="88"/>
      <c r="C32" s="43"/>
      <c r="D32" s="43"/>
      <c r="E32" s="43"/>
      <c r="F32" s="43"/>
      <c r="G32" s="43"/>
      <c r="H32" s="43"/>
      <c r="I32" s="44"/>
      <c r="J32" s="44"/>
      <c r="K32" s="72"/>
      <c r="L32" s="43"/>
      <c r="M32" s="43"/>
      <c r="N32" s="43"/>
      <c r="O32" s="46" t="str">
        <f>IF(L32&lt;&gt;"",L32*GramsPerTroyOz,IF(M32&lt;&gt;"",M32*GramsPerOz,IF(N32&lt;&gt;"",N32*GramsPerGrain,"")))</f>
        <v/>
      </c>
      <c r="P32" s="72"/>
      <c r="Q32" s="47"/>
      <c r="R32" s="72"/>
      <c r="S32" s="47"/>
      <c r="T32" s="47"/>
      <c r="U32" s="47"/>
      <c r="V32" s="132"/>
      <c r="W32" s="46"/>
      <c r="X32" s="72"/>
      <c r="Y32" s="147" t="str">
        <f t="shared" si="1"/>
        <v/>
      </c>
      <c r="Z32" s="48" t="str">
        <f t="shared" si="2"/>
        <v/>
      </c>
      <c r="AA32" s="72"/>
      <c r="AB32" s="43" t="str">
        <f t="shared" si="3"/>
        <v/>
      </c>
      <c r="AC32" s="48" t="str">
        <f t="shared" si="4"/>
        <v/>
      </c>
      <c r="AD32" s="48" t="str">
        <f t="shared" si="25"/>
        <v/>
      </c>
      <c r="AE32" s="72"/>
      <c r="AF32" s="51" t="str">
        <f t="shared" si="21"/>
        <v/>
      </c>
      <c r="AG32" s="51" t="str">
        <f t="shared" ref="AG32:AG49" si="26">IF(OR(S32="",O32=""),"",1-(O32/S32))</f>
        <v/>
      </c>
      <c r="AH32" s="51" t="str">
        <f t="shared" si="8"/>
        <v/>
      </c>
      <c r="AI32" s="45"/>
      <c r="AJ32" s="10" t="str">
        <f t="shared" si="9"/>
        <v/>
      </c>
      <c r="AK32" s="47" t="str">
        <f t="shared" si="10"/>
        <v/>
      </c>
      <c r="AL32" s="51" t="str">
        <f t="shared" si="11"/>
        <v/>
      </c>
      <c r="AM32" s="45"/>
      <c r="AN32" s="46" t="str">
        <f t="shared" si="20"/>
        <v/>
      </c>
      <c r="AO32" s="51" t="str">
        <f t="shared" si="12"/>
        <v/>
      </c>
      <c r="AP32" s="45"/>
      <c r="AQ32" s="46" t="str">
        <f t="shared" si="13"/>
        <v/>
      </c>
      <c r="AR32" s="51" t="str">
        <f t="shared" si="14"/>
        <v/>
      </c>
      <c r="AS32" s="45"/>
      <c r="AT32" s="147" t="str">
        <f t="shared" si="15"/>
        <v/>
      </c>
      <c r="AU32" s="51" t="str">
        <f t="shared" si="16"/>
        <v/>
      </c>
      <c r="AV32" s="45"/>
      <c r="AW32" s="47" t="str">
        <f t="shared" si="17"/>
        <v/>
      </c>
      <c r="AX32" s="51" t="str">
        <f t="shared" si="18"/>
        <v/>
      </c>
      <c r="AY32" s="72"/>
      <c r="AZ32" s="54" t="str">
        <f t="shared" ref="AZ32:BB49" si="27">IF($S32="","",VLOOKUP(AZ$6,Metals,7,FALSE)*$S32/GramsPerOz)</f>
        <v/>
      </c>
      <c r="BA32" s="54" t="str">
        <f t="shared" si="27"/>
        <v/>
      </c>
      <c r="BB32" s="54" t="str">
        <f t="shared" si="27"/>
        <v/>
      </c>
      <c r="BC32" s="45"/>
      <c r="BD32" s="55"/>
      <c r="BE32" s="55"/>
      <c r="BF32" s="89"/>
    </row>
    <row r="33" spans="2:58" x14ac:dyDescent="0.2">
      <c r="B33" s="88"/>
      <c r="C33" s="43"/>
      <c r="D33" s="43"/>
      <c r="E33" s="43"/>
      <c r="F33" s="43"/>
      <c r="G33" s="43"/>
      <c r="H33" s="43"/>
      <c r="I33" s="44"/>
      <c r="J33" s="44"/>
      <c r="K33" s="72"/>
      <c r="L33" s="43"/>
      <c r="M33" s="43"/>
      <c r="N33" s="43"/>
      <c r="O33" s="46" t="str">
        <f>IF(L33&lt;&gt;"",L33*GramsPerTroyOz,IF(M33&lt;&gt;"",M33*GramsPerOz,IF(N33&lt;&gt;"",N33*GramsPerGrain,"")))</f>
        <v/>
      </c>
      <c r="P33" s="72"/>
      <c r="Q33" s="47"/>
      <c r="R33" s="72"/>
      <c r="S33" s="47"/>
      <c r="T33" s="47"/>
      <c r="U33" s="47"/>
      <c r="V33" s="132"/>
      <c r="W33" s="46"/>
      <c r="X33" s="72"/>
      <c r="Y33" s="147" t="str">
        <f t="shared" si="1"/>
        <v/>
      </c>
      <c r="Z33" s="48" t="str">
        <f t="shared" si="2"/>
        <v/>
      </c>
      <c r="AA33" s="72"/>
      <c r="AB33" s="43" t="str">
        <f t="shared" si="3"/>
        <v/>
      </c>
      <c r="AC33" s="48" t="str">
        <f t="shared" si="4"/>
        <v/>
      </c>
      <c r="AD33" s="48" t="str">
        <f t="shared" si="25"/>
        <v/>
      </c>
      <c r="AE33" s="72"/>
      <c r="AF33" s="51" t="str">
        <f t="shared" si="21"/>
        <v/>
      </c>
      <c r="AG33" s="51" t="str">
        <f t="shared" si="26"/>
        <v/>
      </c>
      <c r="AH33" s="51" t="str">
        <f t="shared" si="8"/>
        <v/>
      </c>
      <c r="AI33" s="45"/>
      <c r="AJ33" s="10" t="str">
        <f t="shared" si="9"/>
        <v/>
      </c>
      <c r="AK33" s="47" t="str">
        <f t="shared" si="10"/>
        <v/>
      </c>
      <c r="AL33" s="51" t="str">
        <f t="shared" si="11"/>
        <v/>
      </c>
      <c r="AM33" s="45"/>
      <c r="AN33" s="46" t="str">
        <f t="shared" si="20"/>
        <v/>
      </c>
      <c r="AO33" s="51" t="str">
        <f t="shared" si="12"/>
        <v/>
      </c>
      <c r="AP33" s="45"/>
      <c r="AQ33" s="46" t="str">
        <f t="shared" si="13"/>
        <v/>
      </c>
      <c r="AR33" s="51" t="str">
        <f t="shared" si="14"/>
        <v/>
      </c>
      <c r="AS33" s="45"/>
      <c r="AT33" s="147" t="str">
        <f t="shared" si="15"/>
        <v/>
      </c>
      <c r="AU33" s="51" t="str">
        <f t="shared" si="16"/>
        <v/>
      </c>
      <c r="AV33" s="45"/>
      <c r="AW33" s="47" t="str">
        <f t="shared" si="17"/>
        <v/>
      </c>
      <c r="AX33" s="51" t="str">
        <f t="shared" si="18"/>
        <v/>
      </c>
      <c r="AY33" s="72"/>
      <c r="AZ33" s="54" t="str">
        <f t="shared" si="27"/>
        <v/>
      </c>
      <c r="BA33" s="54" t="str">
        <f t="shared" si="27"/>
        <v/>
      </c>
      <c r="BB33" s="54" t="str">
        <f t="shared" si="27"/>
        <v/>
      </c>
      <c r="BC33" s="45"/>
      <c r="BD33" s="55"/>
      <c r="BE33" s="55"/>
      <c r="BF33" s="89"/>
    </row>
    <row r="34" spans="2:58" x14ac:dyDescent="0.2">
      <c r="B34" s="88"/>
      <c r="C34" s="43"/>
      <c r="D34" s="43"/>
      <c r="E34" s="43"/>
      <c r="F34" s="43"/>
      <c r="G34" s="43"/>
      <c r="H34" s="43"/>
      <c r="I34" s="44"/>
      <c r="J34" s="44"/>
      <c r="K34" s="72"/>
      <c r="L34" s="43"/>
      <c r="M34" s="43"/>
      <c r="N34" s="43"/>
      <c r="O34" s="46"/>
      <c r="P34" s="72"/>
      <c r="Q34" s="47"/>
      <c r="R34" s="72"/>
      <c r="S34" s="47"/>
      <c r="T34" s="47"/>
      <c r="U34" s="47"/>
      <c r="V34" s="132"/>
      <c r="W34" s="46"/>
      <c r="X34" s="72"/>
      <c r="Y34" s="147" t="str">
        <f t="shared" si="1"/>
        <v/>
      </c>
      <c r="Z34" s="48" t="str">
        <f t="shared" si="2"/>
        <v/>
      </c>
      <c r="AA34" s="72"/>
      <c r="AB34" s="43" t="str">
        <f t="shared" si="3"/>
        <v/>
      </c>
      <c r="AC34" s="48" t="str">
        <f t="shared" si="4"/>
        <v/>
      </c>
      <c r="AD34" s="48" t="str">
        <f t="shared" si="25"/>
        <v/>
      </c>
      <c r="AE34" s="72"/>
      <c r="AF34" s="51" t="str">
        <f t="shared" si="21"/>
        <v/>
      </c>
      <c r="AG34" s="51" t="str">
        <f t="shared" si="26"/>
        <v/>
      </c>
      <c r="AH34" s="51" t="str">
        <f t="shared" si="8"/>
        <v/>
      </c>
      <c r="AI34" s="45"/>
      <c r="AJ34" s="10" t="str">
        <f t="shared" si="9"/>
        <v/>
      </c>
      <c r="AK34" s="47" t="str">
        <f t="shared" si="10"/>
        <v/>
      </c>
      <c r="AL34" s="51" t="str">
        <f t="shared" si="11"/>
        <v/>
      </c>
      <c r="AM34" s="45"/>
      <c r="AN34" s="46" t="str">
        <f t="shared" si="20"/>
        <v/>
      </c>
      <c r="AO34" s="51" t="str">
        <f t="shared" si="12"/>
        <v/>
      </c>
      <c r="AP34" s="45"/>
      <c r="AQ34" s="46" t="str">
        <f t="shared" si="13"/>
        <v/>
      </c>
      <c r="AR34" s="51" t="str">
        <f t="shared" si="14"/>
        <v/>
      </c>
      <c r="AS34" s="45"/>
      <c r="AT34" s="147" t="str">
        <f t="shared" si="15"/>
        <v/>
      </c>
      <c r="AU34" s="51" t="str">
        <f t="shared" si="16"/>
        <v/>
      </c>
      <c r="AV34" s="45"/>
      <c r="AW34" s="47" t="str">
        <f t="shared" si="17"/>
        <v/>
      </c>
      <c r="AX34" s="51" t="str">
        <f t="shared" si="18"/>
        <v/>
      </c>
      <c r="AY34" s="72"/>
      <c r="AZ34" s="54" t="str">
        <f t="shared" si="27"/>
        <v/>
      </c>
      <c r="BA34" s="54" t="str">
        <f t="shared" si="27"/>
        <v/>
      </c>
      <c r="BB34" s="54" t="str">
        <f t="shared" si="27"/>
        <v/>
      </c>
      <c r="BC34" s="45"/>
      <c r="BD34" s="55"/>
      <c r="BE34" s="55"/>
      <c r="BF34" s="89"/>
    </row>
    <row r="35" spans="2:58" x14ac:dyDescent="0.2">
      <c r="B35" s="88"/>
      <c r="C35" s="43" t="s">
        <v>93</v>
      </c>
      <c r="D35" s="43">
        <v>1911</v>
      </c>
      <c r="E35" s="43" t="s">
        <v>190</v>
      </c>
      <c r="F35" s="43" t="s">
        <v>188</v>
      </c>
      <c r="G35" s="43" t="s">
        <v>199</v>
      </c>
      <c r="H35" s="43"/>
      <c r="I35" s="44">
        <v>9900437</v>
      </c>
      <c r="J35" s="44"/>
      <c r="K35" s="72"/>
      <c r="L35" s="43"/>
      <c r="M35" s="43"/>
      <c r="N35" s="43"/>
      <c r="O35" s="46">
        <v>10.1</v>
      </c>
      <c r="P35" s="72"/>
      <c r="Q35" s="47" t="s">
        <v>205</v>
      </c>
      <c r="R35" s="72"/>
      <c r="S35" s="47">
        <v>10.11</v>
      </c>
      <c r="T35" s="47">
        <v>27.38</v>
      </c>
      <c r="U35" s="47">
        <v>2.0499999999999998</v>
      </c>
      <c r="V35" s="132">
        <v>0.18</v>
      </c>
      <c r="W35" s="46">
        <v>0.998</v>
      </c>
      <c r="X35" s="72"/>
      <c r="Y35" s="147">
        <f t="shared" si="1"/>
        <v>10.178000000000001</v>
      </c>
      <c r="Z35" s="48">
        <f t="shared" si="2"/>
        <v>992.33641186873638</v>
      </c>
      <c r="AA35" s="72"/>
      <c r="AB35" s="43">
        <f t="shared" si="3"/>
        <v>1.69</v>
      </c>
      <c r="AC35" s="48">
        <f t="shared" si="4"/>
        <v>588.78504292445007</v>
      </c>
      <c r="AD35" s="48">
        <f t="shared" si="25"/>
        <v>995.04672254232059</v>
      </c>
      <c r="AE35" s="72"/>
      <c r="AF35" s="51" t="str">
        <f t="shared" si="21"/>
        <v/>
      </c>
      <c r="AG35" s="51">
        <f t="shared" si="26"/>
        <v>9.8911968348169843E-4</v>
      </c>
      <c r="AH35" s="51">
        <f t="shared" si="8"/>
        <v>2.7238024227238533E-3</v>
      </c>
      <c r="AI35" s="45"/>
      <c r="AJ35" s="10">
        <f>IF(OR(U35="",AC35="",Z35=""),"",(U35-(Z35/AC35))/2)</f>
        <v>0.1823016130472016</v>
      </c>
      <c r="AK35" s="47">
        <f t="shared" si="10"/>
        <v>10.127585542035741</v>
      </c>
      <c r="AL35" s="51">
        <f t="shared" si="11"/>
        <v>1.7364002469049122E-3</v>
      </c>
      <c r="AM35" s="45"/>
      <c r="AN35" s="46">
        <f t="shared" si="20"/>
        <v>0.99504672254232063</v>
      </c>
      <c r="AO35" s="51">
        <f t="shared" si="12"/>
        <v>-2.9679786795677732E-3</v>
      </c>
      <c r="AP35" s="45"/>
      <c r="AQ35" s="46">
        <f t="shared" si="13"/>
        <v>0.99331892316761627</v>
      </c>
      <c r="AR35" s="51">
        <f t="shared" si="14"/>
        <v>-4.7125618199803654E-3</v>
      </c>
      <c r="AS35" s="45"/>
      <c r="AT35" s="147">
        <f t="shared" si="15"/>
        <v>10.160326918287005</v>
      </c>
      <c r="AU35" s="51">
        <f t="shared" si="16"/>
        <v>-1.7394205772245375E-3</v>
      </c>
      <c r="AV35" s="45"/>
      <c r="AW35" s="47">
        <f t="shared" si="17"/>
        <v>10.130260521042084</v>
      </c>
      <c r="AX35" s="51">
        <f t="shared" si="18"/>
        <v>-4.7125618199803654E-3</v>
      </c>
      <c r="AY35" s="72"/>
      <c r="AZ35" s="54">
        <f t="shared" si="27"/>
        <v>5.8173597841487484E-2</v>
      </c>
      <c r="BA35" s="54">
        <f t="shared" si="27"/>
        <v>6.1053302378315149</v>
      </c>
      <c r="BB35" s="54">
        <f t="shared" si="27"/>
        <v>28.529580550614554</v>
      </c>
      <c r="BC35" s="45"/>
      <c r="BD35" s="158" t="s">
        <v>201</v>
      </c>
      <c r="BE35" s="55"/>
      <c r="BF35" s="89"/>
    </row>
    <row r="36" spans="2:58" x14ac:dyDescent="0.2">
      <c r="B36" s="88"/>
      <c r="C36" s="43" t="s">
        <v>93</v>
      </c>
      <c r="D36" s="43">
        <v>1924</v>
      </c>
      <c r="E36" s="43" t="s">
        <v>195</v>
      </c>
      <c r="F36" s="43" t="s">
        <v>188</v>
      </c>
      <c r="G36" s="43" t="s">
        <v>198</v>
      </c>
      <c r="H36" s="43"/>
      <c r="I36" s="159">
        <v>78520000</v>
      </c>
      <c r="J36" s="44"/>
      <c r="K36" s="72"/>
      <c r="L36" s="43"/>
      <c r="M36" s="43"/>
      <c r="N36" s="43"/>
      <c r="O36" s="46">
        <v>4.95</v>
      </c>
      <c r="P36" s="72"/>
      <c r="Q36" s="47">
        <v>23.8</v>
      </c>
      <c r="R36" s="72"/>
      <c r="S36" s="47">
        <v>4.6500000000000004</v>
      </c>
      <c r="T36" s="47">
        <v>23.43</v>
      </c>
      <c r="U36" s="47">
        <v>1.37</v>
      </c>
      <c r="V36" s="132">
        <v>0.114</v>
      </c>
      <c r="W36" s="46">
        <v>0.49</v>
      </c>
      <c r="X36" s="72"/>
      <c r="Y36" s="147">
        <f t="shared" si="1"/>
        <v>10.0532</v>
      </c>
      <c r="Z36" s="48">
        <f t="shared" si="2"/>
        <v>492.38053555086935</v>
      </c>
      <c r="AA36" s="72"/>
      <c r="AB36" s="43">
        <f t="shared" si="3"/>
        <v>1.1420000000000001</v>
      </c>
      <c r="AC36" s="48">
        <f t="shared" si="4"/>
        <v>431.15602422966379</v>
      </c>
      <c r="AD36" s="48">
        <f t="shared" si="25"/>
        <v>492.38017967027611</v>
      </c>
      <c r="AE36" s="72"/>
      <c r="AF36" s="51">
        <f t="shared" si="21"/>
        <v>1.5546218487395014E-2</v>
      </c>
      <c r="AG36" s="51">
        <f t="shared" si="26"/>
        <v>-6.4516129032258007E-2</v>
      </c>
      <c r="AH36" s="51">
        <f t="shared" si="8"/>
        <v>-7.2277603346826425E-7</v>
      </c>
      <c r="AI36" s="45"/>
      <c r="AJ36" s="10">
        <f t="shared" ref="AJ36:AJ49" si="28">IF(OR(U36="",AC36="",Z36=""),"",(U36-(Z36/AC36))/2)</f>
        <v>0.1139995872948848</v>
      </c>
      <c r="AK36" s="47">
        <f t="shared" si="10"/>
        <v>4.9499964222612194</v>
      </c>
      <c r="AL36" s="51">
        <f t="shared" si="11"/>
        <v>6.0605381634635025E-2</v>
      </c>
      <c r="AM36" s="45"/>
      <c r="AN36" s="46">
        <f t="shared" si="20"/>
        <v>0.49238017967027609</v>
      </c>
      <c r="AO36" s="51">
        <f t="shared" si="12"/>
        <v>4.8340281931534834E-3</v>
      </c>
      <c r="AP36" s="45"/>
      <c r="AQ36" s="46">
        <f t="shared" si="13"/>
        <v>0.46253929097202884</v>
      </c>
      <c r="AR36" s="51">
        <f t="shared" si="14"/>
        <v>-5.9369462365591374E-2</v>
      </c>
      <c r="AS36" s="45"/>
      <c r="AT36" s="147">
        <f t="shared" si="15"/>
        <v>9.4439219773506871</v>
      </c>
      <c r="AU36" s="51">
        <f t="shared" si="16"/>
        <v>-6.451535962606858E-2</v>
      </c>
      <c r="AV36" s="45"/>
      <c r="AW36" s="47">
        <f t="shared" si="17"/>
        <v>9.4897959183673475</v>
      </c>
      <c r="AX36" s="51">
        <f t="shared" si="18"/>
        <v>-5.9369462365591374E-2</v>
      </c>
      <c r="AY36" s="72"/>
      <c r="AZ36" s="54">
        <f t="shared" si="27"/>
        <v>2.6756402568043208E-2</v>
      </c>
      <c r="BA36" s="54">
        <f t="shared" si="27"/>
        <v>2.8080895752637529</v>
      </c>
      <c r="BB36" s="54">
        <f t="shared" si="27"/>
        <v>13.12191390310165</v>
      </c>
      <c r="BC36" s="45"/>
      <c r="BD36" s="158" t="s">
        <v>201</v>
      </c>
      <c r="BE36" s="55" t="s">
        <v>204</v>
      </c>
      <c r="BF36" s="89"/>
    </row>
    <row r="37" spans="2:58" x14ac:dyDescent="0.2">
      <c r="B37" s="88"/>
      <c r="C37" s="43" t="s">
        <v>93</v>
      </c>
      <c r="D37" s="43">
        <v>1871</v>
      </c>
      <c r="E37" s="43" t="s">
        <v>190</v>
      </c>
      <c r="F37" s="43" t="s">
        <v>187</v>
      </c>
      <c r="G37" s="43" t="s">
        <v>196</v>
      </c>
      <c r="H37" s="43"/>
      <c r="I37" s="44"/>
      <c r="J37" s="44"/>
      <c r="K37" s="72"/>
      <c r="L37" s="43"/>
      <c r="M37" s="43"/>
      <c r="N37" s="43"/>
      <c r="O37" s="46">
        <v>5</v>
      </c>
      <c r="P37" s="72"/>
      <c r="Q37" s="47">
        <v>24</v>
      </c>
      <c r="R37" s="72"/>
      <c r="S37" s="47">
        <v>4.88</v>
      </c>
      <c r="T37" s="47">
        <v>24</v>
      </c>
      <c r="U37" s="47">
        <v>1.32</v>
      </c>
      <c r="V37" s="132">
        <v>0.11700000000000001</v>
      </c>
      <c r="W37" s="46">
        <v>0.47899999999999998</v>
      </c>
      <c r="X37" s="72"/>
      <c r="Y37" s="147">
        <f t="shared" si="1"/>
        <v>10.178000000000001</v>
      </c>
      <c r="Z37" s="48">
        <f t="shared" si="2"/>
        <v>491.25564943996852</v>
      </c>
      <c r="AA37" s="72"/>
      <c r="AB37" s="43">
        <f t="shared" si="3"/>
        <v>1.0860000000000001</v>
      </c>
      <c r="AC37" s="48">
        <f t="shared" si="4"/>
        <v>452.38934211693021</v>
      </c>
      <c r="AD37" s="48">
        <f>IF(OR(AC37="",AB37=""),"",AC37*AB37)</f>
        <v>491.29482553898623</v>
      </c>
      <c r="AE37" s="72"/>
      <c r="AF37" s="51">
        <f t="shared" si="21"/>
        <v>0</v>
      </c>
      <c r="AG37" s="51">
        <f t="shared" si="26"/>
        <v>-2.4590163934426146E-2</v>
      </c>
      <c r="AH37" s="51">
        <f t="shared" si="8"/>
        <v>7.9740508104775287E-5</v>
      </c>
      <c r="AI37" s="45"/>
      <c r="AJ37" s="10">
        <f t="shared" si="28"/>
        <v>0.11704329909590083</v>
      </c>
      <c r="AK37" s="47">
        <f t="shared" si="10"/>
        <v>5.0003987343358025</v>
      </c>
      <c r="AL37" s="51">
        <f t="shared" si="11"/>
        <v>2.4077826735910302E-2</v>
      </c>
      <c r="AM37" s="45"/>
      <c r="AN37" s="46">
        <f t="shared" si="20"/>
        <v>0.49129482553898624</v>
      </c>
      <c r="AO37" s="51">
        <f t="shared" si="12"/>
        <v>2.5025351173804666E-2</v>
      </c>
      <c r="AP37" s="45"/>
      <c r="AQ37" s="46">
        <f t="shared" si="13"/>
        <v>0.47946551385340924</v>
      </c>
      <c r="AR37" s="51">
        <f t="shared" si="14"/>
        <v>9.7090163934410167E-4</v>
      </c>
      <c r="AS37" s="45"/>
      <c r="AT37" s="147">
        <f t="shared" si="15"/>
        <v>9.9329358794819065</v>
      </c>
      <c r="AU37" s="51">
        <f t="shared" si="16"/>
        <v>-2.4671871790123312E-2</v>
      </c>
      <c r="AV37" s="45"/>
      <c r="AW37" s="47">
        <f t="shared" si="17"/>
        <v>10.187891440501044</v>
      </c>
      <c r="AX37" s="51">
        <f t="shared" si="18"/>
        <v>9.709016393442127E-4</v>
      </c>
      <c r="AY37" s="72"/>
      <c r="AZ37" s="54">
        <f t="shared" si="27"/>
        <v>2.8079837533774375E-2</v>
      </c>
      <c r="BA37" s="54">
        <f t="shared" si="27"/>
        <v>2.9469843284488419</v>
      </c>
      <c r="BB37" s="54">
        <f t="shared" si="27"/>
        <v>13.770954805835709</v>
      </c>
      <c r="BC37" s="45"/>
      <c r="BD37" s="158" t="s">
        <v>201</v>
      </c>
      <c r="BE37" s="55"/>
      <c r="BF37" s="89"/>
    </row>
    <row r="38" spans="2:58" x14ac:dyDescent="0.2">
      <c r="B38" s="88"/>
      <c r="C38" s="43" t="s">
        <v>93</v>
      </c>
      <c r="D38" s="43">
        <v>1877</v>
      </c>
      <c r="E38" s="43" t="s">
        <v>190</v>
      </c>
      <c r="F38" s="43" t="s">
        <v>187</v>
      </c>
      <c r="G38" s="43" t="s">
        <v>197</v>
      </c>
      <c r="H38" s="43"/>
      <c r="I38" s="44">
        <v>5199731</v>
      </c>
      <c r="J38" s="44"/>
      <c r="K38" s="72"/>
      <c r="L38" s="43"/>
      <c r="M38" s="43"/>
      <c r="N38" s="43"/>
      <c r="O38" s="46">
        <v>5.39</v>
      </c>
      <c r="P38" s="72"/>
      <c r="Q38" s="47">
        <v>23.5</v>
      </c>
      <c r="R38" s="72"/>
      <c r="S38" s="47">
        <v>5.44</v>
      </c>
      <c r="T38" s="47">
        <v>22.95</v>
      </c>
      <c r="U38" s="47">
        <v>1.57</v>
      </c>
      <c r="V38" s="132">
        <v>0.14499999999999999</v>
      </c>
      <c r="W38" s="161">
        <v>0.55200000000000005</v>
      </c>
      <c r="X38" s="72"/>
      <c r="Y38" s="147">
        <f t="shared" si="1"/>
        <v>10.178000000000001</v>
      </c>
      <c r="Z38" s="48">
        <f t="shared" si="2"/>
        <v>529.57359009628601</v>
      </c>
      <c r="AA38" s="72"/>
      <c r="AB38" s="43">
        <f t="shared" si="3"/>
        <v>1.28</v>
      </c>
      <c r="AC38" s="48">
        <f t="shared" si="4"/>
        <v>413.67117615684447</v>
      </c>
      <c r="AD38" s="48">
        <f t="shared" si="25"/>
        <v>529.49910548076093</v>
      </c>
      <c r="AE38" s="72"/>
      <c r="AF38" s="51">
        <f t="shared" si="21"/>
        <v>2.3404255319148914E-2</v>
      </c>
      <c r="AG38" s="51">
        <f t="shared" si="26"/>
        <v>9.1911764705883137E-3</v>
      </c>
      <c r="AH38" s="51">
        <f t="shared" si="8"/>
        <v>-1.4066995534856019E-4</v>
      </c>
      <c r="AI38" s="45"/>
      <c r="AJ38" s="10">
        <f t="shared" si="28"/>
        <v>0.14490997122857696</v>
      </c>
      <c r="AK38" s="47">
        <f t="shared" si="10"/>
        <v>5.3892418955831856</v>
      </c>
      <c r="AL38" s="51">
        <f t="shared" si="11"/>
        <v>-9.4184127193128742E-3</v>
      </c>
      <c r="AM38" s="45"/>
      <c r="AN38" s="46">
        <f t="shared" si="20"/>
        <v>0.52949910548076096</v>
      </c>
      <c r="AO38" s="51">
        <f t="shared" si="12"/>
        <v>-4.2494679001977342E-2</v>
      </c>
      <c r="AP38" s="45"/>
      <c r="AQ38" s="46">
        <f t="shared" si="13"/>
        <v>0.53448614659068583</v>
      </c>
      <c r="AR38" s="51">
        <f t="shared" si="14"/>
        <v>-3.2767647058823623E-2</v>
      </c>
      <c r="AS38" s="45"/>
      <c r="AT38" s="147">
        <f t="shared" si="15"/>
        <v>10.27386060465717</v>
      </c>
      <c r="AU38" s="51">
        <f t="shared" si="16"/>
        <v>9.3305339001499288E-3</v>
      </c>
      <c r="AV38" s="45"/>
      <c r="AW38" s="47">
        <f t="shared" si="17"/>
        <v>9.8550724637681153</v>
      </c>
      <c r="AX38" s="51">
        <f t="shared" si="18"/>
        <v>-3.2767647058823623E-2</v>
      </c>
      <c r="AY38" s="72"/>
      <c r="AZ38" s="54">
        <f t="shared" si="27"/>
        <v>3.1302113972076349E-2</v>
      </c>
      <c r="BA38" s="54">
        <f t="shared" si="27"/>
        <v>3.2851628579429719</v>
      </c>
      <c r="BB38" s="54">
        <f t="shared" si="27"/>
        <v>15.351228308144726</v>
      </c>
      <c r="BC38" s="45"/>
      <c r="BD38" s="158" t="s">
        <v>201</v>
      </c>
      <c r="BE38" s="55"/>
      <c r="BF38" s="89"/>
    </row>
    <row r="39" spans="2:58" x14ac:dyDescent="0.2">
      <c r="B39" s="88"/>
      <c r="C39" s="43" t="s">
        <v>93</v>
      </c>
      <c r="D39" s="43">
        <v>1875</v>
      </c>
      <c r="E39" s="43" t="s">
        <v>190</v>
      </c>
      <c r="F39" s="43" t="s">
        <v>189</v>
      </c>
      <c r="G39" s="43" t="s">
        <v>197</v>
      </c>
      <c r="H39" s="43"/>
      <c r="I39" s="44">
        <v>8977419</v>
      </c>
      <c r="J39" s="44"/>
      <c r="K39" s="72"/>
      <c r="L39" s="43"/>
      <c r="M39" s="43"/>
      <c r="N39" s="43"/>
      <c r="O39" s="46">
        <v>2.7</v>
      </c>
      <c r="P39" s="72"/>
      <c r="Q39" s="47">
        <v>17.600000000000001</v>
      </c>
      <c r="R39" s="72"/>
      <c r="S39" s="47">
        <v>2.61</v>
      </c>
      <c r="T39" s="47">
        <v>18.260000000000002</v>
      </c>
      <c r="U39" s="47">
        <v>1.17</v>
      </c>
      <c r="V39" s="132">
        <v>7.8E-2</v>
      </c>
      <c r="W39" s="46">
        <v>0.27300000000000002</v>
      </c>
      <c r="X39" s="72"/>
      <c r="Y39" s="147">
        <f t="shared" si="1"/>
        <v>10.178000000000001</v>
      </c>
      <c r="Z39" s="48">
        <f t="shared" si="2"/>
        <v>265.27805069758301</v>
      </c>
      <c r="AA39" s="72"/>
      <c r="AB39" s="43">
        <f t="shared" si="3"/>
        <v>1.014</v>
      </c>
      <c r="AC39" s="48">
        <f t="shared" si="4"/>
        <v>261.87342466601905</v>
      </c>
      <c r="AD39" s="48">
        <f t="shared" si="25"/>
        <v>265.53965261134334</v>
      </c>
      <c r="AE39" s="72"/>
      <c r="AF39" s="51">
        <f t="shared" si="21"/>
        <v>-3.7500000000000089E-2</v>
      </c>
      <c r="AG39" s="51">
        <f t="shared" si="26"/>
        <v>-3.4482758620689724E-2</v>
      </c>
      <c r="AH39" s="51">
        <f t="shared" si="8"/>
        <v>9.8517080664872747E-4</v>
      </c>
      <c r="AI39" s="45"/>
      <c r="AJ39" s="10">
        <f t="shared" si="28"/>
        <v>7.8499481598970799E-2</v>
      </c>
      <c r="AK39" s="47">
        <f t="shared" si="10"/>
        <v>2.7026625842782526</v>
      </c>
      <c r="AL39" s="51">
        <f t="shared" si="11"/>
        <v>3.4285665113093722E-2</v>
      </c>
      <c r="AM39" s="45"/>
      <c r="AN39" s="46">
        <f t="shared" si="20"/>
        <v>0.26553965261134332</v>
      </c>
      <c r="AO39" s="51">
        <f t="shared" si="12"/>
        <v>-2.8095040854693165E-2</v>
      </c>
      <c r="AP39" s="45"/>
      <c r="AQ39" s="46">
        <f t="shared" si="13"/>
        <v>0.25643544900766357</v>
      </c>
      <c r="AR39" s="51">
        <f t="shared" si="14"/>
        <v>-6.4595402298850635E-2</v>
      </c>
      <c r="AS39" s="45"/>
      <c r="AT39" s="147">
        <f t="shared" si="15"/>
        <v>9.8290405004789321</v>
      </c>
      <c r="AU39" s="51">
        <f t="shared" si="16"/>
        <v>-3.550290585373661E-2</v>
      </c>
      <c r="AV39" s="45"/>
      <c r="AW39" s="47">
        <f t="shared" si="17"/>
        <v>9.5604395604395584</v>
      </c>
      <c r="AX39" s="51">
        <f t="shared" si="18"/>
        <v>-6.4595402298850857E-2</v>
      </c>
      <c r="AY39" s="72"/>
      <c r="AZ39" s="54">
        <f t="shared" si="27"/>
        <v>1.5018109828514573E-2</v>
      </c>
      <c r="BA39" s="54">
        <f t="shared" si="27"/>
        <v>1.5761535035351388</v>
      </c>
      <c r="BB39" s="54">
        <f t="shared" si="27"/>
        <v>7.3652032875473772</v>
      </c>
      <c r="BC39" s="45"/>
      <c r="BD39" s="158" t="s">
        <v>201</v>
      </c>
      <c r="BE39" s="55"/>
      <c r="BF39" s="89"/>
    </row>
    <row r="40" spans="2:58" x14ac:dyDescent="0.2">
      <c r="B40" s="88"/>
      <c r="C40" s="43"/>
      <c r="D40" s="43"/>
      <c r="E40" s="43"/>
      <c r="F40" s="43"/>
      <c r="G40" s="43"/>
      <c r="H40" s="43"/>
      <c r="I40" s="44"/>
      <c r="J40" s="44"/>
      <c r="K40" s="72"/>
      <c r="L40" s="43"/>
      <c r="M40" s="43"/>
      <c r="N40" s="43"/>
      <c r="O40" s="46" t="str">
        <f t="shared" ref="O40:O49" si="29">IF(L40&lt;&gt;"",L40*GramsPerTroyOz,IF(M40&lt;&gt;"",M40*GramsPerOz,IF(N40&lt;&gt;"",N40*GramsPerGrain,"")))</f>
        <v/>
      </c>
      <c r="P40" s="72"/>
      <c r="Q40" s="47"/>
      <c r="R40" s="72"/>
      <c r="S40" s="47"/>
      <c r="T40" s="47"/>
      <c r="U40" s="47"/>
      <c r="V40" s="132"/>
      <c r="W40" s="46"/>
      <c r="X40" s="72"/>
      <c r="Y40" s="147" t="str">
        <f t="shared" si="1"/>
        <v/>
      </c>
      <c r="Z40" s="48" t="str">
        <f t="shared" si="2"/>
        <v/>
      </c>
      <c r="AA40" s="72"/>
      <c r="AB40" s="43" t="str">
        <f t="shared" si="3"/>
        <v/>
      </c>
      <c r="AC40" s="48" t="str">
        <f t="shared" si="4"/>
        <v/>
      </c>
      <c r="AD40" s="48" t="str">
        <f t="shared" si="25"/>
        <v/>
      </c>
      <c r="AE40" s="72"/>
      <c r="AF40" s="51" t="str">
        <f t="shared" si="21"/>
        <v/>
      </c>
      <c r="AG40" s="51" t="str">
        <f t="shared" si="26"/>
        <v/>
      </c>
      <c r="AH40" s="51" t="str">
        <f t="shared" si="8"/>
        <v/>
      </c>
      <c r="AI40" s="45"/>
      <c r="AJ40" s="10" t="str">
        <f t="shared" si="28"/>
        <v/>
      </c>
      <c r="AK40" s="47" t="str">
        <f t="shared" si="10"/>
        <v/>
      </c>
      <c r="AL40" s="51" t="str">
        <f t="shared" si="11"/>
        <v/>
      </c>
      <c r="AM40" s="45"/>
      <c r="AN40" s="46" t="str">
        <f t="shared" si="20"/>
        <v/>
      </c>
      <c r="AO40" s="51" t="str">
        <f t="shared" si="12"/>
        <v/>
      </c>
      <c r="AP40" s="45"/>
      <c r="AQ40" s="46" t="str">
        <f t="shared" si="13"/>
        <v/>
      </c>
      <c r="AR40" s="51" t="str">
        <f t="shared" si="14"/>
        <v/>
      </c>
      <c r="AS40" s="45"/>
      <c r="AT40" s="147" t="str">
        <f t="shared" si="15"/>
        <v/>
      </c>
      <c r="AU40" s="51" t="str">
        <f t="shared" si="16"/>
        <v/>
      </c>
      <c r="AV40" s="45"/>
      <c r="AW40" s="47" t="str">
        <f t="shared" si="17"/>
        <v/>
      </c>
      <c r="AX40" s="51" t="str">
        <f t="shared" si="18"/>
        <v/>
      </c>
      <c r="AY40" s="72"/>
      <c r="AZ40" s="54" t="str">
        <f t="shared" si="27"/>
        <v/>
      </c>
      <c r="BA40" s="54" t="str">
        <f t="shared" si="27"/>
        <v/>
      </c>
      <c r="BB40" s="54" t="str">
        <f t="shared" si="27"/>
        <v/>
      </c>
      <c r="BC40" s="45"/>
      <c r="BD40" s="55"/>
      <c r="BE40" s="55"/>
      <c r="BF40" s="89"/>
    </row>
    <row r="41" spans="2:58" x14ac:dyDescent="0.2">
      <c r="B41" s="88"/>
      <c r="C41" s="43" t="s">
        <v>0</v>
      </c>
      <c r="D41" s="43"/>
      <c r="E41" s="43" t="s">
        <v>99</v>
      </c>
      <c r="F41" s="43" t="s">
        <v>233</v>
      </c>
      <c r="G41" s="43" t="s">
        <v>223</v>
      </c>
      <c r="H41" s="43"/>
      <c r="I41" s="44"/>
      <c r="J41" s="44"/>
      <c r="K41" s="72"/>
      <c r="L41" s="43"/>
      <c r="M41" s="43"/>
      <c r="N41" s="43"/>
      <c r="O41" s="46" t="str">
        <f t="shared" si="29"/>
        <v/>
      </c>
      <c r="P41" s="72"/>
      <c r="Q41" s="47"/>
      <c r="R41" s="72"/>
      <c r="S41" s="47">
        <v>26.7</v>
      </c>
      <c r="T41" s="47">
        <v>39.58</v>
      </c>
      <c r="U41" s="47">
        <v>3.06</v>
      </c>
      <c r="V41" s="132">
        <v>0.2</v>
      </c>
      <c r="W41" s="46">
        <v>3.28</v>
      </c>
      <c r="X41" s="72"/>
      <c r="Y41" s="147">
        <f t="shared" si="1"/>
        <v>8.1793999999999993</v>
      </c>
      <c r="Z41" s="48" t="str">
        <f t="shared" si="2"/>
        <v/>
      </c>
      <c r="AA41" s="72"/>
      <c r="AB41" s="43">
        <f t="shared" si="3"/>
        <v>2.66</v>
      </c>
      <c r="AC41" s="48">
        <f t="shared" si="4"/>
        <v>1230.3862273817863</v>
      </c>
      <c r="AD41" s="48">
        <f t="shared" si="25"/>
        <v>3272.8273648355516</v>
      </c>
      <c r="AE41" s="72"/>
      <c r="AF41" s="51" t="str">
        <f t="shared" si="21"/>
        <v/>
      </c>
      <c r="AG41" s="51" t="str">
        <f t="shared" si="26"/>
        <v/>
      </c>
      <c r="AH41" s="51" t="str">
        <f t="shared" si="8"/>
        <v/>
      </c>
      <c r="AI41" s="45"/>
      <c r="AJ41" s="10" t="str">
        <f t="shared" si="28"/>
        <v/>
      </c>
      <c r="AK41" s="47">
        <f t="shared" si="10"/>
        <v>26.769764147935909</v>
      </c>
      <c r="AL41" s="51">
        <f t="shared" si="11"/>
        <v>2.6060800368048476E-3</v>
      </c>
      <c r="AM41" s="45"/>
      <c r="AN41" s="46">
        <f t="shared" si="20"/>
        <v>3.2728273648355515</v>
      </c>
      <c r="AO41" s="51">
        <f t="shared" si="12"/>
        <v>-2.1915714961056043E-3</v>
      </c>
      <c r="AP41" s="45"/>
      <c r="AQ41" s="46">
        <f t="shared" si="13"/>
        <v>3.2642981147761452</v>
      </c>
      <c r="AR41" s="51">
        <f t="shared" si="14"/>
        <v>-4.8101872659174205E-3</v>
      </c>
      <c r="AS41" s="45"/>
      <c r="AT41" s="147">
        <f t="shared" si="15"/>
        <v>8.1580838289469586</v>
      </c>
      <c r="AU41" s="51">
        <f t="shared" si="16"/>
        <v>-2.6128894358017352E-3</v>
      </c>
      <c r="AV41" s="45"/>
      <c r="AW41" s="47">
        <f t="shared" si="17"/>
        <v>8.1402439024390247</v>
      </c>
      <c r="AX41" s="51">
        <f t="shared" si="18"/>
        <v>-4.8101872659174205E-3</v>
      </c>
      <c r="AY41" s="72"/>
      <c r="AZ41" s="54">
        <f t="shared" si="27"/>
        <v>0.15363353732618357</v>
      </c>
      <c r="BA41" s="54">
        <f t="shared" si="27"/>
        <v>16.123869174095098</v>
      </c>
      <c r="BB41" s="54">
        <f t="shared" si="27"/>
        <v>75.345183056519147</v>
      </c>
      <c r="BC41" s="45"/>
      <c r="BD41" s="55"/>
      <c r="BE41" s="55"/>
      <c r="BF41" s="89"/>
    </row>
    <row r="42" spans="2:58" x14ac:dyDescent="0.2">
      <c r="B42" s="88"/>
      <c r="C42" s="43"/>
      <c r="D42" s="43"/>
      <c r="E42" s="43"/>
      <c r="F42" s="43"/>
      <c r="G42" s="43"/>
      <c r="H42" s="43"/>
      <c r="I42" s="44"/>
      <c r="J42" s="44"/>
      <c r="K42" s="72"/>
      <c r="L42" s="43"/>
      <c r="M42" s="43"/>
      <c r="N42" s="43"/>
      <c r="O42" s="46" t="str">
        <f t="shared" si="29"/>
        <v/>
      </c>
      <c r="P42" s="72"/>
      <c r="Q42" s="47"/>
      <c r="R42" s="72"/>
      <c r="S42" s="47"/>
      <c r="T42" s="47"/>
      <c r="U42" s="47"/>
      <c r="V42" s="132"/>
      <c r="W42" s="46"/>
      <c r="X42" s="72"/>
      <c r="Y42" s="147" t="str">
        <f t="shared" si="1"/>
        <v/>
      </c>
      <c r="Z42" s="48" t="str">
        <f t="shared" si="2"/>
        <v/>
      </c>
      <c r="AA42" s="72"/>
      <c r="AB42" s="43" t="str">
        <f t="shared" si="3"/>
        <v/>
      </c>
      <c r="AC42" s="48" t="str">
        <f t="shared" si="4"/>
        <v/>
      </c>
      <c r="AD42" s="48" t="str">
        <f t="shared" si="25"/>
        <v/>
      </c>
      <c r="AE42" s="72"/>
      <c r="AF42" s="51" t="str">
        <f t="shared" si="21"/>
        <v/>
      </c>
      <c r="AG42" s="51" t="str">
        <f t="shared" si="26"/>
        <v/>
      </c>
      <c r="AH42" s="51" t="str">
        <f t="shared" si="8"/>
        <v/>
      </c>
      <c r="AI42" s="45"/>
      <c r="AJ42" s="10" t="str">
        <f t="shared" si="28"/>
        <v/>
      </c>
      <c r="AK42" s="47" t="str">
        <f t="shared" si="10"/>
        <v/>
      </c>
      <c r="AL42" s="51" t="str">
        <f t="shared" si="11"/>
        <v/>
      </c>
      <c r="AM42" s="45"/>
      <c r="AN42" s="46" t="str">
        <f t="shared" si="20"/>
        <v/>
      </c>
      <c r="AO42" s="51" t="str">
        <f t="shared" si="12"/>
        <v/>
      </c>
      <c r="AP42" s="45"/>
      <c r="AQ42" s="46" t="str">
        <f t="shared" si="13"/>
        <v/>
      </c>
      <c r="AR42" s="51" t="str">
        <f t="shared" si="14"/>
        <v/>
      </c>
      <c r="AS42" s="45"/>
      <c r="AT42" s="147" t="str">
        <f t="shared" si="15"/>
        <v/>
      </c>
      <c r="AU42" s="51" t="str">
        <f t="shared" si="16"/>
        <v/>
      </c>
      <c r="AV42" s="45"/>
      <c r="AW42" s="47" t="str">
        <f t="shared" si="17"/>
        <v/>
      </c>
      <c r="AX42" s="51" t="str">
        <f t="shared" si="18"/>
        <v/>
      </c>
      <c r="AY42" s="72"/>
      <c r="AZ42" s="54" t="str">
        <f t="shared" si="27"/>
        <v/>
      </c>
      <c r="BA42" s="54" t="str">
        <f t="shared" si="27"/>
        <v/>
      </c>
      <c r="BB42" s="54" t="str">
        <f t="shared" si="27"/>
        <v/>
      </c>
      <c r="BC42" s="45"/>
      <c r="BD42" s="55"/>
      <c r="BE42" s="55"/>
      <c r="BF42" s="89"/>
    </row>
    <row r="43" spans="2:58" x14ac:dyDescent="0.2">
      <c r="B43" s="88"/>
      <c r="C43" s="43"/>
      <c r="D43" s="43"/>
      <c r="E43" s="43"/>
      <c r="F43" s="43"/>
      <c r="G43" s="43"/>
      <c r="H43" s="43"/>
      <c r="I43" s="44"/>
      <c r="J43" s="44"/>
      <c r="K43" s="72"/>
      <c r="L43" s="43"/>
      <c r="M43" s="43"/>
      <c r="N43" s="43"/>
      <c r="O43" s="46" t="str">
        <f t="shared" si="29"/>
        <v/>
      </c>
      <c r="P43" s="72"/>
      <c r="Q43" s="47"/>
      <c r="R43" s="72"/>
      <c r="S43" s="47"/>
      <c r="T43" s="47"/>
      <c r="U43" s="47"/>
      <c r="V43" s="132"/>
      <c r="W43" s="46"/>
      <c r="X43" s="72"/>
      <c r="Y43" s="147" t="str">
        <f t="shared" si="1"/>
        <v/>
      </c>
      <c r="Z43" s="48" t="str">
        <f t="shared" si="2"/>
        <v/>
      </c>
      <c r="AA43" s="72"/>
      <c r="AB43" s="43" t="str">
        <f t="shared" si="3"/>
        <v/>
      </c>
      <c r="AC43" s="48" t="str">
        <f t="shared" si="4"/>
        <v/>
      </c>
      <c r="AD43" s="48" t="str">
        <f t="shared" si="25"/>
        <v/>
      </c>
      <c r="AE43" s="72"/>
      <c r="AF43" s="51" t="str">
        <f t="shared" si="21"/>
        <v/>
      </c>
      <c r="AG43" s="51" t="str">
        <f t="shared" si="26"/>
        <v/>
      </c>
      <c r="AH43" s="51" t="str">
        <f t="shared" si="8"/>
        <v/>
      </c>
      <c r="AI43" s="45"/>
      <c r="AJ43" s="10" t="str">
        <f t="shared" si="28"/>
        <v/>
      </c>
      <c r="AK43" s="47" t="str">
        <f t="shared" si="10"/>
        <v/>
      </c>
      <c r="AL43" s="51" t="str">
        <f t="shared" si="11"/>
        <v/>
      </c>
      <c r="AM43" s="45"/>
      <c r="AN43" s="46" t="str">
        <f t="shared" si="20"/>
        <v/>
      </c>
      <c r="AO43" s="51" t="str">
        <f t="shared" si="12"/>
        <v/>
      </c>
      <c r="AP43" s="45"/>
      <c r="AQ43" s="46" t="str">
        <f t="shared" si="13"/>
        <v/>
      </c>
      <c r="AR43" s="51" t="str">
        <f t="shared" si="14"/>
        <v/>
      </c>
      <c r="AS43" s="45"/>
      <c r="AT43" s="147" t="str">
        <f t="shared" si="15"/>
        <v/>
      </c>
      <c r="AU43" s="51" t="str">
        <f t="shared" si="16"/>
        <v/>
      </c>
      <c r="AV43" s="45"/>
      <c r="AW43" s="47" t="str">
        <f t="shared" si="17"/>
        <v/>
      </c>
      <c r="AX43" s="51" t="str">
        <f t="shared" si="18"/>
        <v/>
      </c>
      <c r="AY43" s="72"/>
      <c r="AZ43" s="54" t="str">
        <f t="shared" si="27"/>
        <v/>
      </c>
      <c r="BA43" s="54" t="str">
        <f t="shared" si="27"/>
        <v/>
      </c>
      <c r="BB43" s="54" t="str">
        <f t="shared" si="27"/>
        <v/>
      </c>
      <c r="BC43" s="45"/>
      <c r="BD43" s="55"/>
      <c r="BE43" s="55"/>
      <c r="BF43" s="89"/>
    </row>
    <row r="44" spans="2:58" x14ac:dyDescent="0.2">
      <c r="B44" s="88"/>
      <c r="C44" s="43"/>
      <c r="D44" s="43"/>
      <c r="E44" s="43"/>
      <c r="F44" s="43"/>
      <c r="G44" s="43"/>
      <c r="H44" s="43"/>
      <c r="I44" s="44"/>
      <c r="J44" s="44"/>
      <c r="K44" s="72"/>
      <c r="L44" s="43"/>
      <c r="M44" s="43"/>
      <c r="N44" s="43"/>
      <c r="O44" s="46" t="str">
        <f t="shared" si="29"/>
        <v/>
      </c>
      <c r="P44" s="72"/>
      <c r="Q44" s="47"/>
      <c r="R44" s="72"/>
      <c r="S44" s="47"/>
      <c r="T44" s="47"/>
      <c r="U44" s="47"/>
      <c r="V44" s="132"/>
      <c r="W44" s="46"/>
      <c r="X44" s="72"/>
      <c r="Y44" s="147" t="str">
        <f t="shared" si="1"/>
        <v/>
      </c>
      <c r="Z44" s="48" t="str">
        <f t="shared" si="2"/>
        <v/>
      </c>
      <c r="AA44" s="72"/>
      <c r="AB44" s="43" t="str">
        <f t="shared" si="3"/>
        <v/>
      </c>
      <c r="AC44" s="48" t="str">
        <f t="shared" si="4"/>
        <v/>
      </c>
      <c r="AD44" s="48" t="str">
        <f t="shared" si="25"/>
        <v/>
      </c>
      <c r="AE44" s="72"/>
      <c r="AF44" s="51" t="str">
        <f t="shared" si="21"/>
        <v/>
      </c>
      <c r="AG44" s="51" t="str">
        <f t="shared" si="26"/>
        <v/>
      </c>
      <c r="AH44" s="51" t="str">
        <f t="shared" si="8"/>
        <v/>
      </c>
      <c r="AI44" s="45"/>
      <c r="AJ44" s="10" t="str">
        <f t="shared" si="28"/>
        <v/>
      </c>
      <c r="AK44" s="47" t="str">
        <f t="shared" si="10"/>
        <v/>
      </c>
      <c r="AL44" s="51" t="str">
        <f t="shared" si="11"/>
        <v/>
      </c>
      <c r="AM44" s="45"/>
      <c r="AN44" s="46" t="str">
        <f t="shared" si="20"/>
        <v/>
      </c>
      <c r="AO44" s="51" t="str">
        <f t="shared" si="12"/>
        <v/>
      </c>
      <c r="AP44" s="45"/>
      <c r="AQ44" s="46" t="str">
        <f t="shared" si="13"/>
        <v/>
      </c>
      <c r="AR44" s="51" t="str">
        <f t="shared" si="14"/>
        <v/>
      </c>
      <c r="AS44" s="45"/>
      <c r="AT44" s="147" t="str">
        <f t="shared" si="15"/>
        <v/>
      </c>
      <c r="AU44" s="51" t="str">
        <f t="shared" si="16"/>
        <v/>
      </c>
      <c r="AV44" s="45"/>
      <c r="AW44" s="47" t="str">
        <f t="shared" si="17"/>
        <v/>
      </c>
      <c r="AX44" s="51" t="str">
        <f t="shared" si="18"/>
        <v/>
      </c>
      <c r="AY44" s="72"/>
      <c r="AZ44" s="54" t="str">
        <f t="shared" si="27"/>
        <v/>
      </c>
      <c r="BA44" s="54" t="str">
        <f t="shared" si="27"/>
        <v/>
      </c>
      <c r="BB44" s="54" t="str">
        <f t="shared" si="27"/>
        <v/>
      </c>
      <c r="BC44" s="45"/>
      <c r="BD44" s="55"/>
      <c r="BE44" s="55"/>
      <c r="BF44" s="89"/>
    </row>
    <row r="45" spans="2:58" x14ac:dyDescent="0.2">
      <c r="B45" s="88"/>
      <c r="C45" s="43"/>
      <c r="D45" s="43"/>
      <c r="E45" s="43"/>
      <c r="F45" s="43"/>
      <c r="G45" s="43"/>
      <c r="H45" s="43"/>
      <c r="I45" s="44"/>
      <c r="J45" s="44"/>
      <c r="K45" s="72"/>
      <c r="L45" s="43"/>
      <c r="M45" s="43"/>
      <c r="N45" s="43"/>
      <c r="O45" s="46" t="str">
        <f t="shared" si="29"/>
        <v/>
      </c>
      <c r="P45" s="72"/>
      <c r="Q45" s="47"/>
      <c r="R45" s="72"/>
      <c r="S45" s="47"/>
      <c r="T45" s="47"/>
      <c r="U45" s="47"/>
      <c r="V45" s="132"/>
      <c r="W45" s="46"/>
      <c r="X45" s="72"/>
      <c r="Y45" s="147" t="str">
        <f t="shared" si="1"/>
        <v/>
      </c>
      <c r="Z45" s="48" t="str">
        <f t="shared" si="2"/>
        <v/>
      </c>
      <c r="AA45" s="72"/>
      <c r="AB45" s="43" t="str">
        <f t="shared" si="3"/>
        <v/>
      </c>
      <c r="AC45" s="48" t="str">
        <f t="shared" si="4"/>
        <v/>
      </c>
      <c r="AD45" s="48" t="str">
        <f t="shared" si="25"/>
        <v/>
      </c>
      <c r="AE45" s="72"/>
      <c r="AF45" s="51" t="str">
        <f t="shared" si="21"/>
        <v/>
      </c>
      <c r="AG45" s="51" t="str">
        <f t="shared" si="26"/>
        <v/>
      </c>
      <c r="AH45" s="51" t="str">
        <f t="shared" si="8"/>
        <v/>
      </c>
      <c r="AI45" s="45"/>
      <c r="AJ45" s="10" t="str">
        <f t="shared" si="28"/>
        <v/>
      </c>
      <c r="AK45" s="47" t="str">
        <f t="shared" si="10"/>
        <v/>
      </c>
      <c r="AL45" s="51" t="str">
        <f t="shared" si="11"/>
        <v/>
      </c>
      <c r="AM45" s="45"/>
      <c r="AN45" s="46" t="str">
        <f t="shared" si="20"/>
        <v/>
      </c>
      <c r="AO45" s="51" t="str">
        <f t="shared" si="12"/>
        <v/>
      </c>
      <c r="AP45" s="45"/>
      <c r="AQ45" s="46" t="str">
        <f t="shared" si="13"/>
        <v/>
      </c>
      <c r="AR45" s="51" t="str">
        <f t="shared" si="14"/>
        <v/>
      </c>
      <c r="AS45" s="45"/>
      <c r="AT45" s="147" t="str">
        <f t="shared" si="15"/>
        <v/>
      </c>
      <c r="AU45" s="51" t="str">
        <f t="shared" si="16"/>
        <v/>
      </c>
      <c r="AV45" s="45"/>
      <c r="AW45" s="47" t="str">
        <f t="shared" si="17"/>
        <v/>
      </c>
      <c r="AX45" s="51" t="str">
        <f t="shared" si="18"/>
        <v/>
      </c>
      <c r="AY45" s="72"/>
      <c r="AZ45" s="54" t="str">
        <f t="shared" si="27"/>
        <v/>
      </c>
      <c r="BA45" s="54" t="str">
        <f t="shared" si="27"/>
        <v/>
      </c>
      <c r="BB45" s="54" t="str">
        <f t="shared" si="27"/>
        <v/>
      </c>
      <c r="BC45" s="45"/>
      <c r="BD45" s="55"/>
      <c r="BE45" s="55"/>
      <c r="BF45" s="89"/>
    </row>
    <row r="46" spans="2:58" x14ac:dyDescent="0.2">
      <c r="B46" s="88"/>
      <c r="C46" s="43"/>
      <c r="D46" s="43"/>
      <c r="E46" s="43"/>
      <c r="F46" s="43"/>
      <c r="G46" s="43"/>
      <c r="H46" s="43"/>
      <c r="I46" s="44"/>
      <c r="J46" s="44"/>
      <c r="K46" s="72"/>
      <c r="L46" s="43"/>
      <c r="M46" s="43"/>
      <c r="N46" s="43"/>
      <c r="O46" s="46" t="str">
        <f t="shared" si="29"/>
        <v/>
      </c>
      <c r="P46" s="72"/>
      <c r="Q46" s="47"/>
      <c r="R46" s="72"/>
      <c r="S46" s="47"/>
      <c r="T46" s="47"/>
      <c r="U46" s="47"/>
      <c r="V46" s="132"/>
      <c r="W46" s="46"/>
      <c r="X46" s="72"/>
      <c r="Y46" s="147" t="str">
        <f t="shared" si="1"/>
        <v/>
      </c>
      <c r="Z46" s="48" t="str">
        <f t="shared" si="2"/>
        <v/>
      </c>
      <c r="AA46" s="72"/>
      <c r="AB46" s="43" t="str">
        <f t="shared" si="3"/>
        <v/>
      </c>
      <c r="AC46" s="48" t="str">
        <f t="shared" si="4"/>
        <v/>
      </c>
      <c r="AD46" s="48" t="str">
        <f t="shared" si="25"/>
        <v/>
      </c>
      <c r="AE46" s="72"/>
      <c r="AF46" s="51" t="str">
        <f t="shared" si="21"/>
        <v/>
      </c>
      <c r="AG46" s="51" t="str">
        <f t="shared" si="26"/>
        <v/>
      </c>
      <c r="AH46" s="51" t="str">
        <f t="shared" si="8"/>
        <v/>
      </c>
      <c r="AI46" s="45"/>
      <c r="AJ46" s="10" t="str">
        <f t="shared" si="28"/>
        <v/>
      </c>
      <c r="AK46" s="47" t="str">
        <f t="shared" si="10"/>
        <v/>
      </c>
      <c r="AL46" s="51" t="str">
        <f t="shared" si="11"/>
        <v/>
      </c>
      <c r="AM46" s="45"/>
      <c r="AN46" s="46" t="str">
        <f t="shared" si="20"/>
        <v/>
      </c>
      <c r="AO46" s="51" t="str">
        <f t="shared" si="12"/>
        <v/>
      </c>
      <c r="AP46" s="45"/>
      <c r="AQ46" s="46" t="str">
        <f t="shared" si="13"/>
        <v/>
      </c>
      <c r="AR46" s="51" t="str">
        <f t="shared" si="14"/>
        <v/>
      </c>
      <c r="AS46" s="45"/>
      <c r="AT46" s="147" t="str">
        <f t="shared" si="15"/>
        <v/>
      </c>
      <c r="AU46" s="51" t="str">
        <f t="shared" si="16"/>
        <v/>
      </c>
      <c r="AV46" s="45"/>
      <c r="AW46" s="47" t="str">
        <f t="shared" si="17"/>
        <v/>
      </c>
      <c r="AX46" s="51" t="str">
        <f t="shared" si="18"/>
        <v/>
      </c>
      <c r="AY46" s="72"/>
      <c r="AZ46" s="54" t="str">
        <f t="shared" si="27"/>
        <v/>
      </c>
      <c r="BA46" s="54" t="str">
        <f t="shared" si="27"/>
        <v/>
      </c>
      <c r="BB46" s="54" t="str">
        <f t="shared" si="27"/>
        <v/>
      </c>
      <c r="BC46" s="45"/>
      <c r="BD46" s="55"/>
      <c r="BE46" s="55"/>
      <c r="BF46" s="89"/>
    </row>
    <row r="47" spans="2:58" x14ac:dyDescent="0.2">
      <c r="B47" s="88"/>
      <c r="C47" s="43"/>
      <c r="D47" s="43"/>
      <c r="E47" s="43"/>
      <c r="F47" s="43"/>
      <c r="G47" s="43"/>
      <c r="H47" s="43"/>
      <c r="I47" s="44"/>
      <c r="J47" s="44"/>
      <c r="K47" s="72"/>
      <c r="L47" s="43"/>
      <c r="M47" s="43"/>
      <c r="N47" s="43"/>
      <c r="O47" s="46" t="str">
        <f t="shared" si="29"/>
        <v/>
      </c>
      <c r="P47" s="72"/>
      <c r="Q47" s="47"/>
      <c r="R47" s="72"/>
      <c r="S47" s="47"/>
      <c r="T47" s="47"/>
      <c r="U47" s="47"/>
      <c r="V47" s="132"/>
      <c r="W47" s="46"/>
      <c r="X47" s="72"/>
      <c r="Y47" s="147" t="str">
        <f t="shared" si="1"/>
        <v/>
      </c>
      <c r="Z47" s="48" t="str">
        <f t="shared" si="2"/>
        <v/>
      </c>
      <c r="AA47" s="72"/>
      <c r="AB47" s="43" t="str">
        <f t="shared" si="3"/>
        <v/>
      </c>
      <c r="AC47" s="48" t="str">
        <f t="shared" si="4"/>
        <v/>
      </c>
      <c r="AD47" s="48" t="str">
        <f t="shared" si="25"/>
        <v/>
      </c>
      <c r="AE47" s="72"/>
      <c r="AF47" s="51" t="str">
        <f t="shared" si="21"/>
        <v/>
      </c>
      <c r="AG47" s="51" t="str">
        <f t="shared" si="26"/>
        <v/>
      </c>
      <c r="AH47" s="51" t="str">
        <f t="shared" si="8"/>
        <v/>
      </c>
      <c r="AI47" s="45"/>
      <c r="AJ47" s="10" t="str">
        <f t="shared" si="28"/>
        <v/>
      </c>
      <c r="AK47" s="47" t="str">
        <f t="shared" si="10"/>
        <v/>
      </c>
      <c r="AL47" s="51" t="str">
        <f t="shared" si="11"/>
        <v/>
      </c>
      <c r="AM47" s="45"/>
      <c r="AN47" s="46" t="str">
        <f t="shared" si="20"/>
        <v/>
      </c>
      <c r="AO47" s="51" t="str">
        <f t="shared" si="12"/>
        <v/>
      </c>
      <c r="AP47" s="45"/>
      <c r="AQ47" s="46" t="str">
        <f t="shared" si="13"/>
        <v/>
      </c>
      <c r="AR47" s="51" t="str">
        <f t="shared" si="14"/>
        <v/>
      </c>
      <c r="AS47" s="45"/>
      <c r="AT47" s="147" t="str">
        <f t="shared" si="15"/>
        <v/>
      </c>
      <c r="AU47" s="51" t="str">
        <f t="shared" si="16"/>
        <v/>
      </c>
      <c r="AV47" s="45"/>
      <c r="AW47" s="47" t="str">
        <f t="shared" si="17"/>
        <v/>
      </c>
      <c r="AX47" s="51" t="str">
        <f t="shared" si="18"/>
        <v/>
      </c>
      <c r="AY47" s="72"/>
      <c r="AZ47" s="54" t="str">
        <f t="shared" si="27"/>
        <v/>
      </c>
      <c r="BA47" s="54" t="str">
        <f t="shared" si="27"/>
        <v/>
      </c>
      <c r="BB47" s="54" t="str">
        <f t="shared" si="27"/>
        <v/>
      </c>
      <c r="BC47" s="45"/>
      <c r="BD47" s="55"/>
      <c r="BE47" s="55"/>
      <c r="BF47" s="89"/>
    </row>
    <row r="48" spans="2:58" x14ac:dyDescent="0.2">
      <c r="B48" s="88"/>
      <c r="C48" s="43"/>
      <c r="D48" s="43"/>
      <c r="E48" s="43"/>
      <c r="F48" s="43"/>
      <c r="G48" s="43"/>
      <c r="H48" s="43"/>
      <c r="I48" s="44"/>
      <c r="J48" s="44"/>
      <c r="K48" s="72"/>
      <c r="L48" s="43"/>
      <c r="M48" s="43"/>
      <c r="N48" s="43"/>
      <c r="O48" s="46" t="str">
        <f t="shared" si="29"/>
        <v/>
      </c>
      <c r="P48" s="72"/>
      <c r="Q48" s="47"/>
      <c r="R48" s="72"/>
      <c r="S48" s="47"/>
      <c r="T48" s="47"/>
      <c r="U48" s="47"/>
      <c r="V48" s="132"/>
      <c r="W48" s="46"/>
      <c r="X48" s="72"/>
      <c r="Y48" s="147" t="str">
        <f t="shared" si="1"/>
        <v/>
      </c>
      <c r="Z48" s="48" t="str">
        <f t="shared" si="2"/>
        <v/>
      </c>
      <c r="AA48" s="72"/>
      <c r="AB48" s="43" t="str">
        <f t="shared" si="3"/>
        <v/>
      </c>
      <c r="AC48" s="48" t="str">
        <f t="shared" si="4"/>
        <v/>
      </c>
      <c r="AD48" s="48" t="str">
        <f t="shared" si="25"/>
        <v/>
      </c>
      <c r="AE48" s="72"/>
      <c r="AF48" s="51" t="str">
        <f t="shared" si="21"/>
        <v/>
      </c>
      <c r="AG48" s="51" t="str">
        <f t="shared" si="26"/>
        <v/>
      </c>
      <c r="AH48" s="51" t="str">
        <f t="shared" si="8"/>
        <v/>
      </c>
      <c r="AI48" s="45"/>
      <c r="AJ48" s="10" t="str">
        <f t="shared" si="28"/>
        <v/>
      </c>
      <c r="AK48" s="47" t="str">
        <f t="shared" si="10"/>
        <v/>
      </c>
      <c r="AL48" s="51" t="str">
        <f t="shared" si="11"/>
        <v/>
      </c>
      <c r="AM48" s="45"/>
      <c r="AN48" s="46" t="str">
        <f t="shared" si="20"/>
        <v/>
      </c>
      <c r="AO48" s="51" t="str">
        <f t="shared" si="12"/>
        <v/>
      </c>
      <c r="AP48" s="45"/>
      <c r="AQ48" s="46" t="str">
        <f t="shared" si="13"/>
        <v/>
      </c>
      <c r="AR48" s="51" t="str">
        <f t="shared" si="14"/>
        <v/>
      </c>
      <c r="AS48" s="45"/>
      <c r="AT48" s="147" t="str">
        <f t="shared" si="15"/>
        <v/>
      </c>
      <c r="AU48" s="51" t="str">
        <f t="shared" si="16"/>
        <v/>
      </c>
      <c r="AV48" s="45"/>
      <c r="AW48" s="47" t="str">
        <f t="shared" si="17"/>
        <v/>
      </c>
      <c r="AX48" s="51" t="str">
        <f t="shared" si="18"/>
        <v/>
      </c>
      <c r="AY48" s="72"/>
      <c r="AZ48" s="54" t="str">
        <f t="shared" si="27"/>
        <v/>
      </c>
      <c r="BA48" s="54" t="str">
        <f t="shared" si="27"/>
        <v/>
      </c>
      <c r="BB48" s="54" t="str">
        <f t="shared" si="27"/>
        <v/>
      </c>
      <c r="BC48" s="45"/>
      <c r="BD48" s="55"/>
      <c r="BE48" s="55"/>
      <c r="BF48" s="89"/>
    </row>
    <row r="49" spans="2:58" x14ac:dyDescent="0.2">
      <c r="B49" s="88"/>
      <c r="C49" s="43"/>
      <c r="D49" s="43"/>
      <c r="E49" s="43"/>
      <c r="F49" s="43"/>
      <c r="G49" s="43"/>
      <c r="H49" s="43"/>
      <c r="I49" s="44"/>
      <c r="J49" s="44"/>
      <c r="K49" s="72"/>
      <c r="L49" s="43"/>
      <c r="M49" s="43"/>
      <c r="N49" s="43"/>
      <c r="O49" s="46" t="str">
        <f t="shared" si="29"/>
        <v/>
      </c>
      <c r="P49" s="72"/>
      <c r="Q49" s="47"/>
      <c r="R49" s="72"/>
      <c r="S49" s="47"/>
      <c r="T49" s="47"/>
      <c r="U49" s="47"/>
      <c r="V49" s="132"/>
      <c r="W49" s="46"/>
      <c r="X49" s="72"/>
      <c r="Y49" s="147" t="str">
        <f t="shared" si="1"/>
        <v/>
      </c>
      <c r="Z49" s="48" t="str">
        <f t="shared" si="2"/>
        <v/>
      </c>
      <c r="AA49" s="72"/>
      <c r="AB49" s="43" t="str">
        <f t="shared" si="3"/>
        <v/>
      </c>
      <c r="AC49" s="48" t="str">
        <f t="shared" si="4"/>
        <v/>
      </c>
      <c r="AD49" s="48" t="str">
        <f t="shared" si="25"/>
        <v/>
      </c>
      <c r="AE49" s="72"/>
      <c r="AF49" s="51" t="str">
        <f t="shared" si="21"/>
        <v/>
      </c>
      <c r="AG49" s="51" t="str">
        <f t="shared" si="26"/>
        <v/>
      </c>
      <c r="AH49" s="51" t="str">
        <f t="shared" si="8"/>
        <v/>
      </c>
      <c r="AI49" s="45"/>
      <c r="AJ49" s="10" t="str">
        <f t="shared" si="28"/>
        <v/>
      </c>
      <c r="AK49" s="47" t="str">
        <f t="shared" si="10"/>
        <v/>
      </c>
      <c r="AL49" s="51" t="str">
        <f t="shared" si="11"/>
        <v/>
      </c>
      <c r="AM49" s="45"/>
      <c r="AN49" s="46" t="str">
        <f t="shared" si="20"/>
        <v/>
      </c>
      <c r="AO49" s="51" t="str">
        <f t="shared" si="12"/>
        <v/>
      </c>
      <c r="AP49" s="45"/>
      <c r="AQ49" s="46" t="str">
        <f t="shared" si="13"/>
        <v/>
      </c>
      <c r="AR49" s="51" t="str">
        <f t="shared" si="14"/>
        <v/>
      </c>
      <c r="AS49" s="45"/>
      <c r="AT49" s="147" t="str">
        <f t="shared" si="15"/>
        <v/>
      </c>
      <c r="AU49" s="51" t="str">
        <f t="shared" si="16"/>
        <v/>
      </c>
      <c r="AV49" s="45"/>
      <c r="AW49" s="47" t="str">
        <f t="shared" si="17"/>
        <v/>
      </c>
      <c r="AX49" s="51" t="str">
        <f t="shared" si="18"/>
        <v/>
      </c>
      <c r="AY49" s="72"/>
      <c r="AZ49" s="54" t="str">
        <f t="shared" si="27"/>
        <v/>
      </c>
      <c r="BA49" s="54" t="str">
        <f t="shared" si="27"/>
        <v/>
      </c>
      <c r="BB49" s="54" t="str">
        <f t="shared" si="27"/>
        <v/>
      </c>
      <c r="BC49" s="45"/>
      <c r="BD49" s="55"/>
      <c r="BE49" s="55"/>
      <c r="BF49" s="89"/>
    </row>
    <row r="50" spans="2:58" ht="11" customHeight="1" thickBot="1" x14ac:dyDescent="0.25">
      <c r="B50" s="93"/>
      <c r="C50" s="94"/>
      <c r="D50" s="94"/>
      <c r="E50" s="94"/>
      <c r="F50" s="94"/>
      <c r="G50" s="94"/>
      <c r="H50" s="94"/>
      <c r="I50" s="95"/>
      <c r="J50" s="95"/>
      <c r="K50" s="96"/>
      <c r="L50" s="94"/>
      <c r="M50" s="94"/>
      <c r="N50" s="94"/>
      <c r="O50" s="97"/>
      <c r="P50" s="101"/>
      <c r="Q50" s="98"/>
      <c r="R50" s="100"/>
      <c r="S50" s="98"/>
      <c r="T50" s="98"/>
      <c r="U50" s="98"/>
      <c r="V50" s="97"/>
      <c r="W50" s="97"/>
      <c r="X50" s="101"/>
      <c r="Y50" s="151"/>
      <c r="Z50" s="99"/>
      <c r="AA50" s="101"/>
      <c r="AB50" s="94"/>
      <c r="AC50" s="99"/>
      <c r="AD50" s="99"/>
      <c r="AE50" s="96"/>
      <c r="AF50" s="102"/>
      <c r="AG50" s="102"/>
      <c r="AH50" s="102"/>
      <c r="AI50" s="96"/>
      <c r="AJ50" s="98"/>
      <c r="AK50" s="98"/>
      <c r="AL50" s="102"/>
      <c r="AM50" s="96"/>
      <c r="AN50" s="97"/>
      <c r="AO50" s="102"/>
      <c r="AP50" s="96"/>
      <c r="AQ50" s="97"/>
      <c r="AR50" s="102"/>
      <c r="AS50" s="96"/>
      <c r="AT50" s="151"/>
      <c r="AU50" s="102"/>
      <c r="AV50" s="96"/>
      <c r="AW50" s="98"/>
      <c r="AX50" s="102"/>
      <c r="AY50" s="96"/>
      <c r="AZ50" s="103"/>
      <c r="BA50" s="94"/>
      <c r="BB50" s="94"/>
      <c r="BC50" s="96"/>
      <c r="BD50" s="104"/>
      <c r="BE50" s="104"/>
      <c r="BF50" s="105"/>
    </row>
    <row r="52" spans="2:58" x14ac:dyDescent="0.2">
      <c r="C52" s="119" t="s">
        <v>114</v>
      </c>
      <c r="D52" s="119" t="s">
        <v>114</v>
      </c>
      <c r="E52" s="119" t="s">
        <v>113</v>
      </c>
      <c r="F52" s="119" t="s">
        <v>114</v>
      </c>
      <c r="G52" s="119" t="s">
        <v>114</v>
      </c>
      <c r="H52" s="119" t="s">
        <v>114</v>
      </c>
      <c r="I52" s="119" t="s">
        <v>114</v>
      </c>
      <c r="J52" s="119" t="s">
        <v>114</v>
      </c>
      <c r="L52" s="119" t="s">
        <v>111</v>
      </c>
      <c r="M52" s="119" t="s">
        <v>112</v>
      </c>
      <c r="N52" s="119" t="s">
        <v>112</v>
      </c>
      <c r="O52" s="119" t="s">
        <v>112</v>
      </c>
      <c r="Q52" s="119" t="s">
        <v>111</v>
      </c>
      <c r="S52" s="119" t="s">
        <v>111</v>
      </c>
      <c r="T52" s="119" t="s">
        <v>111</v>
      </c>
      <c r="U52" s="119" t="s">
        <v>111</v>
      </c>
      <c r="V52" s="125" t="s">
        <v>110</v>
      </c>
      <c r="W52" s="125" t="s">
        <v>111</v>
      </c>
      <c r="Y52" s="152" t="s">
        <v>147</v>
      </c>
    </row>
    <row r="54" spans="2:58" x14ac:dyDescent="0.2">
      <c r="V54" s="142" t="s">
        <v>175</v>
      </c>
      <c r="Y54" s="152" t="s">
        <v>222</v>
      </c>
    </row>
    <row r="56" spans="2:58" x14ac:dyDescent="0.2">
      <c r="W56" s="142" t="s">
        <v>175</v>
      </c>
      <c r="Y56" s="152" t="s">
        <v>180</v>
      </c>
    </row>
  </sheetData>
  <sortState ref="B8:BA26">
    <sortCondition ref="C8:C26"/>
    <sortCondition ref="D8:D26"/>
    <sortCondition ref="G8:G26"/>
  </sortState>
  <conditionalFormatting sqref="AX21:AX49 AU21:AU49 AL21:AL49 AR21:AR49 AH21:AI49 AG9:AI16 AR9:AR16 AL9:AL16 AU9:AU16 AX9:AX16 AX18:AX19 AU18:AU19 AL18:AL19 AR18:AR19 AH18:AI19 AG18:AG49">
    <cfRule type="cellIs" dxfId="161" priority="289" stopIfTrue="1" operator="greaterThan">
      <formula>2</formula>
    </cfRule>
    <cfRule type="cellIs" dxfId="160" priority="291" stopIfTrue="1" operator="between">
      <formula>-0.03</formula>
      <formula>-0.08</formula>
    </cfRule>
    <cfRule type="cellIs" dxfId="159" priority="293" stopIfTrue="1" operator="between">
      <formula>0.03</formula>
      <formula>0.08</formula>
    </cfRule>
    <cfRule type="cellIs" dxfId="158" priority="294" stopIfTrue="1" operator="greaterThan">
      <formula>0.08</formula>
    </cfRule>
    <cfRule type="cellIs" dxfId="157" priority="295" stopIfTrue="1" operator="lessThan">
      <formula>-0.08</formula>
    </cfRule>
    <cfRule type="cellIs" dxfId="156" priority="297" stopIfTrue="1" operator="between">
      <formula>-0.03</formula>
      <formula>-0.08</formula>
    </cfRule>
    <cfRule type="cellIs" dxfId="155" priority="298" stopIfTrue="1" operator="between">
      <formula>0.03</formula>
      <formula>0.08</formula>
    </cfRule>
    <cfRule type="cellIs" dxfId="154" priority="299" stopIfTrue="1" operator="lessThan">
      <formula>-0.8</formula>
    </cfRule>
    <cfRule type="cellIs" dxfId="153" priority="300" stopIfTrue="1" operator="greaterThan">
      <formula>0.8</formula>
    </cfRule>
  </conditionalFormatting>
  <conditionalFormatting sqref="AG30:AI49 AR30:AR49 AL30:AL49 AU30:AU49">
    <cfRule type="cellIs" dxfId="152" priority="213" stopIfTrue="1" operator="between">
      <formula>-0.03</formula>
      <formula>-0.08</formula>
    </cfRule>
    <cfRule type="cellIs" dxfId="151" priority="214" stopIfTrue="1" operator="between">
      <formula>0.03</formula>
      <formula>0.08</formula>
    </cfRule>
    <cfRule type="cellIs" dxfId="150" priority="215" stopIfTrue="1" operator="lessThan">
      <formula>-0.8</formula>
    </cfRule>
    <cfRule type="cellIs" dxfId="149" priority="216" stopIfTrue="1" operator="greaterThan">
      <formula>0.8</formula>
    </cfRule>
  </conditionalFormatting>
  <conditionalFormatting sqref="AG30:AI49 AR30:AR49 AL30:AL49 AU30:AU49 AX30:AX49">
    <cfRule type="cellIs" dxfId="148" priority="209" stopIfTrue="1" operator="between">
      <formula>-0.03</formula>
      <formula>-0.08</formula>
    </cfRule>
    <cfRule type="cellIs" dxfId="147" priority="210" stopIfTrue="1" operator="between">
      <formula>0.03</formula>
      <formula>0.08</formula>
    </cfRule>
    <cfRule type="cellIs" dxfId="146" priority="211" stopIfTrue="1" operator="greaterThan">
      <formula>0.08</formula>
    </cfRule>
    <cfRule type="cellIs" dxfId="145" priority="212" stopIfTrue="1" operator="lessThan">
      <formula>-0.08</formula>
    </cfRule>
  </conditionalFormatting>
  <conditionalFormatting sqref="AG30:AI49 AR30:AR49 AL30:AL49 AU30:AU49 AX30:AX49">
    <cfRule type="cellIs" dxfId="144" priority="208" stopIfTrue="1" operator="greaterThan">
      <formula>2</formula>
    </cfRule>
  </conditionalFormatting>
  <conditionalFormatting sqref="AX20 AU20 AL20 AR20 AH20:AI20">
    <cfRule type="cellIs" dxfId="143" priority="190" stopIfTrue="1" operator="greaterThan">
      <formula>2</formula>
    </cfRule>
    <cfRule type="cellIs" dxfId="142" priority="191" stopIfTrue="1" operator="between">
      <formula>-0.03</formula>
      <formula>-0.08</formula>
    </cfRule>
    <cfRule type="cellIs" dxfId="141" priority="192" stopIfTrue="1" operator="between">
      <formula>0.03</formula>
      <formula>0.08</formula>
    </cfRule>
    <cfRule type="cellIs" dxfId="140" priority="193" stopIfTrue="1" operator="greaterThan">
      <formula>0.08</formula>
    </cfRule>
    <cfRule type="cellIs" dxfId="139" priority="194" stopIfTrue="1" operator="lessThan">
      <formula>-0.08</formula>
    </cfRule>
    <cfRule type="cellIs" dxfId="138" priority="195" stopIfTrue="1" operator="between">
      <formula>-0.03</formula>
      <formula>-0.08</formula>
    </cfRule>
    <cfRule type="cellIs" dxfId="137" priority="196" stopIfTrue="1" operator="between">
      <formula>0.03</formula>
      <formula>0.08</formula>
    </cfRule>
    <cfRule type="cellIs" dxfId="136" priority="197" stopIfTrue="1" operator="lessThan">
      <formula>-0.8</formula>
    </cfRule>
    <cfRule type="cellIs" dxfId="135" priority="198" stopIfTrue="1" operator="greaterThan">
      <formula>0.8</formula>
    </cfRule>
  </conditionalFormatting>
  <conditionalFormatting sqref="AG37:AI37 AR37 AL37 AU37 AX37">
    <cfRule type="cellIs" dxfId="134" priority="181" stopIfTrue="1" operator="greaterThan">
      <formula>2</formula>
    </cfRule>
    <cfRule type="cellIs" dxfId="133" priority="182" stopIfTrue="1" operator="between">
      <formula>-0.03</formula>
      <formula>-0.08</formula>
    </cfRule>
    <cfRule type="cellIs" dxfId="132" priority="183" stopIfTrue="1" operator="between">
      <formula>0.03</formula>
      <formula>0.08</formula>
    </cfRule>
    <cfRule type="cellIs" dxfId="131" priority="184" stopIfTrue="1" operator="greaterThan">
      <formula>0.08</formula>
    </cfRule>
    <cfRule type="cellIs" dxfId="130" priority="185" stopIfTrue="1" operator="lessThan">
      <formula>-0.08</formula>
    </cfRule>
    <cfRule type="cellIs" dxfId="129" priority="186" stopIfTrue="1" operator="between">
      <formula>-0.03</formula>
      <formula>-0.08</formula>
    </cfRule>
    <cfRule type="cellIs" dxfId="128" priority="187" stopIfTrue="1" operator="between">
      <formula>0.03</formula>
      <formula>0.08</formula>
    </cfRule>
    <cfRule type="cellIs" dxfId="127" priority="188" stopIfTrue="1" operator="lessThan">
      <formula>-0.8</formula>
    </cfRule>
    <cfRule type="cellIs" dxfId="126" priority="189" stopIfTrue="1" operator="greaterThan">
      <formula>0.8</formula>
    </cfRule>
  </conditionalFormatting>
  <conditionalFormatting sqref="AU37 AL37 AR37 AG37:AI37">
    <cfRule type="cellIs" dxfId="125" priority="177" stopIfTrue="1" operator="between">
      <formula>-0.03</formula>
      <formula>-0.08</formula>
    </cfRule>
    <cfRule type="cellIs" dxfId="124" priority="178" stopIfTrue="1" operator="between">
      <formula>0.03</formula>
      <formula>0.08</formula>
    </cfRule>
    <cfRule type="cellIs" dxfId="123" priority="179" stopIfTrue="1" operator="lessThan">
      <formula>-0.8</formula>
    </cfRule>
    <cfRule type="cellIs" dxfId="122" priority="180" stopIfTrue="1" operator="greaterThan">
      <formula>0.8</formula>
    </cfRule>
  </conditionalFormatting>
  <conditionalFormatting sqref="AX37 AU37 AL37 AR37 AG37:AI37">
    <cfRule type="cellIs" dxfId="121" priority="173" stopIfTrue="1" operator="between">
      <formula>-0.03</formula>
      <formula>-0.08</formula>
    </cfRule>
    <cfRule type="cellIs" dxfId="120" priority="174" stopIfTrue="1" operator="between">
      <formula>0.03</formula>
      <formula>0.08</formula>
    </cfRule>
    <cfRule type="cellIs" dxfId="119" priority="175" stopIfTrue="1" operator="greaterThan">
      <formula>0.08</formula>
    </cfRule>
    <cfRule type="cellIs" dxfId="118" priority="176" stopIfTrue="1" operator="lessThan">
      <formula>-0.08</formula>
    </cfRule>
  </conditionalFormatting>
  <conditionalFormatting sqref="AX37 AU37 AL37 AR37 AG37:AI37">
    <cfRule type="cellIs" dxfId="117" priority="172" stopIfTrue="1" operator="greaterThan">
      <formula>2</formula>
    </cfRule>
  </conditionalFormatting>
  <conditionalFormatting sqref="AF21:AF49 AF9:AF16 AF18:AF19">
    <cfRule type="cellIs" dxfId="116" priority="163" stopIfTrue="1" operator="greaterThan">
      <formula>2</formula>
    </cfRule>
    <cfRule type="cellIs" dxfId="115" priority="164" stopIfTrue="1" operator="between">
      <formula>-0.03</formula>
      <formula>-0.08</formula>
    </cfRule>
    <cfRule type="cellIs" dxfId="114" priority="165" stopIfTrue="1" operator="between">
      <formula>0.03</formula>
      <formula>0.08</formula>
    </cfRule>
    <cfRule type="cellIs" dxfId="113" priority="166" stopIfTrue="1" operator="greaterThan">
      <formula>0.08</formula>
    </cfRule>
    <cfRule type="cellIs" dxfId="112" priority="167" stopIfTrue="1" operator="lessThan">
      <formula>-0.08</formula>
    </cfRule>
    <cfRule type="cellIs" dxfId="111" priority="168" stopIfTrue="1" operator="between">
      <formula>-0.03</formula>
      <formula>-0.08</formula>
    </cfRule>
    <cfRule type="cellIs" dxfId="110" priority="169" stopIfTrue="1" operator="between">
      <formula>0.03</formula>
      <formula>0.08</formula>
    </cfRule>
    <cfRule type="cellIs" dxfId="109" priority="170" stopIfTrue="1" operator="lessThan">
      <formula>-0.8</formula>
    </cfRule>
    <cfRule type="cellIs" dxfId="108" priority="171" stopIfTrue="1" operator="greaterThan">
      <formula>0.8</formula>
    </cfRule>
  </conditionalFormatting>
  <conditionalFormatting sqref="AF30:AF49">
    <cfRule type="cellIs" dxfId="107" priority="159" stopIfTrue="1" operator="between">
      <formula>-0.03</formula>
      <formula>-0.08</formula>
    </cfRule>
    <cfRule type="cellIs" dxfId="106" priority="160" stopIfTrue="1" operator="between">
      <formula>0.03</formula>
      <formula>0.08</formula>
    </cfRule>
    <cfRule type="cellIs" dxfId="105" priority="161" stopIfTrue="1" operator="lessThan">
      <formula>-0.8</formula>
    </cfRule>
    <cfRule type="cellIs" dxfId="104" priority="162" stopIfTrue="1" operator="greaterThan">
      <formula>0.8</formula>
    </cfRule>
  </conditionalFormatting>
  <conditionalFormatting sqref="AF30:AF49">
    <cfRule type="cellIs" dxfId="103" priority="155" stopIfTrue="1" operator="between">
      <formula>-0.03</formula>
      <formula>-0.08</formula>
    </cfRule>
    <cfRule type="cellIs" dxfId="102" priority="156" stopIfTrue="1" operator="between">
      <formula>0.03</formula>
      <formula>0.08</formula>
    </cfRule>
    <cfRule type="cellIs" dxfId="101" priority="157" stopIfTrue="1" operator="greaterThan">
      <formula>0.08</formula>
    </cfRule>
    <cfRule type="cellIs" dxfId="100" priority="158" stopIfTrue="1" operator="lessThan">
      <formula>-0.08</formula>
    </cfRule>
  </conditionalFormatting>
  <conditionalFormatting sqref="AF30:AF49">
    <cfRule type="cellIs" dxfId="99" priority="154" stopIfTrue="1" operator="greaterThan">
      <formula>2</formula>
    </cfRule>
  </conditionalFormatting>
  <conditionalFormatting sqref="AF20">
    <cfRule type="cellIs" dxfId="98" priority="145" stopIfTrue="1" operator="greaterThan">
      <formula>2</formula>
    </cfRule>
    <cfRule type="cellIs" dxfId="97" priority="146" stopIfTrue="1" operator="between">
      <formula>-0.03</formula>
      <formula>-0.08</formula>
    </cfRule>
    <cfRule type="cellIs" dxfId="96" priority="147" stopIfTrue="1" operator="between">
      <formula>0.03</formula>
      <formula>0.08</formula>
    </cfRule>
    <cfRule type="cellIs" dxfId="95" priority="148" stopIfTrue="1" operator="greaterThan">
      <formula>0.08</formula>
    </cfRule>
    <cfRule type="cellIs" dxfId="94" priority="149" stopIfTrue="1" operator="lessThan">
      <formula>-0.08</formula>
    </cfRule>
    <cfRule type="cellIs" dxfId="93" priority="150" stopIfTrue="1" operator="between">
      <formula>-0.03</formula>
      <formula>-0.08</formula>
    </cfRule>
    <cfRule type="cellIs" dxfId="92" priority="151" stopIfTrue="1" operator="between">
      <formula>0.03</formula>
      <formula>0.08</formula>
    </cfRule>
    <cfRule type="cellIs" dxfId="91" priority="152" stopIfTrue="1" operator="lessThan">
      <formula>-0.8</formula>
    </cfRule>
    <cfRule type="cellIs" dxfId="90" priority="153" stopIfTrue="1" operator="greaterThan">
      <formula>0.8</formula>
    </cfRule>
  </conditionalFormatting>
  <conditionalFormatting sqref="AF37">
    <cfRule type="cellIs" dxfId="89" priority="136" stopIfTrue="1" operator="greaterThan">
      <formula>2</formula>
    </cfRule>
    <cfRule type="cellIs" dxfId="88" priority="137" stopIfTrue="1" operator="between">
      <formula>-0.03</formula>
      <formula>-0.08</formula>
    </cfRule>
    <cfRule type="cellIs" dxfId="87" priority="138" stopIfTrue="1" operator="between">
      <formula>0.03</formula>
      <formula>0.08</formula>
    </cfRule>
    <cfRule type="cellIs" dxfId="86" priority="139" stopIfTrue="1" operator="greaterThan">
      <formula>0.08</formula>
    </cfRule>
    <cfRule type="cellIs" dxfId="85" priority="140" stopIfTrue="1" operator="lessThan">
      <formula>-0.08</formula>
    </cfRule>
    <cfRule type="cellIs" dxfId="84" priority="141" stopIfTrue="1" operator="between">
      <formula>-0.03</formula>
      <formula>-0.08</formula>
    </cfRule>
    <cfRule type="cellIs" dxfId="83" priority="142" stopIfTrue="1" operator="between">
      <formula>0.03</formula>
      <formula>0.08</formula>
    </cfRule>
    <cfRule type="cellIs" dxfId="82" priority="143" stopIfTrue="1" operator="lessThan">
      <formula>-0.8</formula>
    </cfRule>
    <cfRule type="cellIs" dxfId="81" priority="144" stopIfTrue="1" operator="greaterThan">
      <formula>0.8</formula>
    </cfRule>
  </conditionalFormatting>
  <conditionalFormatting sqref="AF37">
    <cfRule type="cellIs" dxfId="80" priority="132" stopIfTrue="1" operator="between">
      <formula>-0.03</formula>
      <formula>-0.08</formula>
    </cfRule>
    <cfRule type="cellIs" dxfId="79" priority="133" stopIfTrue="1" operator="between">
      <formula>0.03</formula>
      <formula>0.08</formula>
    </cfRule>
    <cfRule type="cellIs" dxfId="78" priority="134" stopIfTrue="1" operator="lessThan">
      <formula>-0.8</formula>
    </cfRule>
    <cfRule type="cellIs" dxfId="77" priority="135" stopIfTrue="1" operator="greaterThan">
      <formula>0.8</formula>
    </cfRule>
  </conditionalFormatting>
  <conditionalFormatting sqref="AF37">
    <cfRule type="cellIs" dxfId="76" priority="128" stopIfTrue="1" operator="between">
      <formula>-0.03</formula>
      <formula>-0.08</formula>
    </cfRule>
    <cfRule type="cellIs" dxfId="75" priority="129" stopIfTrue="1" operator="between">
      <formula>0.03</formula>
      <formula>0.08</formula>
    </cfRule>
    <cfRule type="cellIs" dxfId="74" priority="130" stopIfTrue="1" operator="greaterThan">
      <formula>0.08</formula>
    </cfRule>
    <cfRule type="cellIs" dxfId="73" priority="131" stopIfTrue="1" operator="lessThan">
      <formula>-0.08</formula>
    </cfRule>
  </conditionalFormatting>
  <conditionalFormatting sqref="AF37">
    <cfRule type="cellIs" dxfId="72" priority="127" stopIfTrue="1" operator="greaterThan">
      <formula>2</formula>
    </cfRule>
  </conditionalFormatting>
  <conditionalFormatting sqref="AX17 AU17 AL17 AR17 AG17:AI17">
    <cfRule type="cellIs" dxfId="71" priority="118" stopIfTrue="1" operator="greaterThan">
      <formula>2</formula>
    </cfRule>
    <cfRule type="cellIs" dxfId="70" priority="119" stopIfTrue="1" operator="between">
      <formula>-0.03</formula>
      <formula>-0.08</formula>
    </cfRule>
    <cfRule type="cellIs" dxfId="69" priority="120" stopIfTrue="1" operator="between">
      <formula>0.03</formula>
      <formula>0.08</formula>
    </cfRule>
    <cfRule type="cellIs" dxfId="68" priority="121" stopIfTrue="1" operator="greaterThan">
      <formula>0.08</formula>
    </cfRule>
    <cfRule type="cellIs" dxfId="67" priority="122" stopIfTrue="1" operator="lessThan">
      <formula>-0.08</formula>
    </cfRule>
    <cfRule type="cellIs" dxfId="66" priority="123" stopIfTrue="1" operator="between">
      <formula>-0.03</formula>
      <formula>-0.08</formula>
    </cfRule>
    <cfRule type="cellIs" dxfId="65" priority="124" stopIfTrue="1" operator="between">
      <formula>0.03</formula>
      <formula>0.08</formula>
    </cfRule>
    <cfRule type="cellIs" dxfId="64" priority="125" stopIfTrue="1" operator="lessThan">
      <formula>-0.8</formula>
    </cfRule>
    <cfRule type="cellIs" dxfId="63" priority="126" stopIfTrue="1" operator="greaterThan">
      <formula>0.8</formula>
    </cfRule>
  </conditionalFormatting>
  <conditionalFormatting sqref="AF17">
    <cfRule type="cellIs" dxfId="62" priority="109" stopIfTrue="1" operator="greaterThan">
      <formula>2</formula>
    </cfRule>
    <cfRule type="cellIs" dxfId="61" priority="110" stopIfTrue="1" operator="between">
      <formula>-0.03</formula>
      <formula>-0.08</formula>
    </cfRule>
    <cfRule type="cellIs" dxfId="60" priority="111" stopIfTrue="1" operator="between">
      <formula>0.03</formula>
      <formula>0.08</formula>
    </cfRule>
    <cfRule type="cellIs" dxfId="59" priority="112" stopIfTrue="1" operator="greaterThan">
      <formula>0.08</formula>
    </cfRule>
    <cfRule type="cellIs" dxfId="58" priority="113" stopIfTrue="1" operator="lessThan">
      <formula>-0.08</formula>
    </cfRule>
    <cfRule type="cellIs" dxfId="57" priority="114" stopIfTrue="1" operator="between">
      <formula>-0.03</formula>
      <formula>-0.08</formula>
    </cfRule>
    <cfRule type="cellIs" dxfId="56" priority="115" stopIfTrue="1" operator="between">
      <formula>0.03</formula>
      <formula>0.08</formula>
    </cfRule>
    <cfRule type="cellIs" dxfId="55" priority="116" stopIfTrue="1" operator="lessThan">
      <formula>-0.8</formula>
    </cfRule>
    <cfRule type="cellIs" dxfId="54" priority="117" stopIfTrue="1" operator="greaterThan">
      <formula>0.8</formula>
    </cfRule>
  </conditionalFormatting>
  <conditionalFormatting sqref="AO21:AO49 AO9:AO16 AO18:AO19">
    <cfRule type="cellIs" dxfId="53" priority="100" stopIfTrue="1" operator="greaterThan">
      <formula>2</formula>
    </cfRule>
    <cfRule type="cellIs" dxfId="52" priority="101" stopIfTrue="1" operator="between">
      <formula>-0.03</formula>
      <formula>-0.08</formula>
    </cfRule>
    <cfRule type="cellIs" dxfId="51" priority="102" stopIfTrue="1" operator="between">
      <formula>0.03</formula>
      <formula>0.08</formula>
    </cfRule>
    <cfRule type="cellIs" dxfId="50" priority="103" stopIfTrue="1" operator="greaterThan">
      <formula>0.08</formula>
    </cfRule>
    <cfRule type="cellIs" dxfId="49" priority="104" stopIfTrue="1" operator="lessThan">
      <formula>-0.08</formula>
    </cfRule>
    <cfRule type="cellIs" dxfId="48" priority="105" stopIfTrue="1" operator="between">
      <formula>-0.03</formula>
      <formula>-0.08</formula>
    </cfRule>
    <cfRule type="cellIs" dxfId="47" priority="106" stopIfTrue="1" operator="between">
      <formula>0.03</formula>
      <formula>0.08</formula>
    </cfRule>
    <cfRule type="cellIs" dxfId="46" priority="107" stopIfTrue="1" operator="lessThan">
      <formula>-0.8</formula>
    </cfRule>
    <cfRule type="cellIs" dxfId="45" priority="108" stopIfTrue="1" operator="greaterThan">
      <formula>0.8</formula>
    </cfRule>
  </conditionalFormatting>
  <conditionalFormatting sqref="AO30:AO49">
    <cfRule type="cellIs" dxfId="44" priority="96" stopIfTrue="1" operator="between">
      <formula>-0.03</formula>
      <formula>-0.08</formula>
    </cfRule>
    <cfRule type="cellIs" dxfId="43" priority="97" stopIfTrue="1" operator="between">
      <formula>0.03</formula>
      <formula>0.08</formula>
    </cfRule>
    <cfRule type="cellIs" dxfId="42" priority="98" stopIfTrue="1" operator="lessThan">
      <formula>-0.8</formula>
    </cfRule>
    <cfRule type="cellIs" dxfId="41" priority="99" stopIfTrue="1" operator="greaterThan">
      <formula>0.8</formula>
    </cfRule>
  </conditionalFormatting>
  <conditionalFormatting sqref="AO30:AO49">
    <cfRule type="cellIs" dxfId="40" priority="92" stopIfTrue="1" operator="between">
      <formula>-0.03</formula>
      <formula>-0.08</formula>
    </cfRule>
    <cfRule type="cellIs" dxfId="39" priority="93" stopIfTrue="1" operator="between">
      <formula>0.03</formula>
      <formula>0.08</formula>
    </cfRule>
    <cfRule type="cellIs" dxfId="38" priority="94" stopIfTrue="1" operator="greaterThan">
      <formula>0.08</formula>
    </cfRule>
    <cfRule type="cellIs" dxfId="37" priority="95" stopIfTrue="1" operator="lessThan">
      <formula>-0.08</formula>
    </cfRule>
  </conditionalFormatting>
  <conditionalFormatting sqref="AO30:AO49">
    <cfRule type="cellIs" dxfId="36" priority="91" stopIfTrue="1" operator="greaterThan">
      <formula>2</formula>
    </cfRule>
  </conditionalFormatting>
  <conditionalFormatting sqref="AO20">
    <cfRule type="cellIs" dxfId="35" priority="82" stopIfTrue="1" operator="greaterThan">
      <formula>2</formula>
    </cfRule>
    <cfRule type="cellIs" dxfId="34" priority="83" stopIfTrue="1" operator="between">
      <formula>-0.03</formula>
      <formula>-0.08</formula>
    </cfRule>
    <cfRule type="cellIs" dxfId="33" priority="84" stopIfTrue="1" operator="between">
      <formula>0.03</formula>
      <formula>0.08</formula>
    </cfRule>
    <cfRule type="cellIs" dxfId="32" priority="85" stopIfTrue="1" operator="greaterThan">
      <formula>0.08</formula>
    </cfRule>
    <cfRule type="cellIs" dxfId="31" priority="86" stopIfTrue="1" operator="lessThan">
      <formula>-0.08</formula>
    </cfRule>
    <cfRule type="cellIs" dxfId="30" priority="87" stopIfTrue="1" operator="between">
      <formula>-0.03</formula>
      <formula>-0.08</formula>
    </cfRule>
    <cfRule type="cellIs" dxfId="29" priority="88" stopIfTrue="1" operator="between">
      <formula>0.03</formula>
      <formula>0.08</formula>
    </cfRule>
    <cfRule type="cellIs" dxfId="28" priority="89" stopIfTrue="1" operator="lessThan">
      <formula>-0.8</formula>
    </cfRule>
    <cfRule type="cellIs" dxfId="27" priority="90" stopIfTrue="1" operator="greaterThan">
      <formula>0.8</formula>
    </cfRule>
  </conditionalFormatting>
  <conditionalFormatting sqref="AO37">
    <cfRule type="cellIs" dxfId="26" priority="73" stopIfTrue="1" operator="greaterThan">
      <formula>2</formula>
    </cfRule>
    <cfRule type="cellIs" dxfId="25" priority="74" stopIfTrue="1" operator="between">
      <formula>-0.03</formula>
      <formula>-0.08</formula>
    </cfRule>
    <cfRule type="cellIs" dxfId="24" priority="75" stopIfTrue="1" operator="between">
      <formula>0.03</formula>
      <formula>0.08</formula>
    </cfRule>
    <cfRule type="cellIs" dxfId="23" priority="76" stopIfTrue="1" operator="greaterThan">
      <formula>0.08</formula>
    </cfRule>
    <cfRule type="cellIs" dxfId="22" priority="77" stopIfTrue="1" operator="lessThan">
      <formula>-0.08</formula>
    </cfRule>
    <cfRule type="cellIs" dxfId="21" priority="78" stopIfTrue="1" operator="between">
      <formula>-0.03</formula>
      <formula>-0.08</formula>
    </cfRule>
    <cfRule type="cellIs" dxfId="20" priority="79" stopIfTrue="1" operator="between">
      <formula>0.03</formula>
      <formula>0.08</formula>
    </cfRule>
    <cfRule type="cellIs" dxfId="19" priority="80" stopIfTrue="1" operator="lessThan">
      <formula>-0.8</formula>
    </cfRule>
    <cfRule type="cellIs" dxfId="18" priority="81" stopIfTrue="1" operator="greaterThan">
      <formula>0.8</formula>
    </cfRule>
  </conditionalFormatting>
  <conditionalFormatting sqref="AO37">
    <cfRule type="cellIs" dxfId="17" priority="69" stopIfTrue="1" operator="between">
      <formula>-0.03</formula>
      <formula>-0.08</formula>
    </cfRule>
    <cfRule type="cellIs" dxfId="16" priority="70" stopIfTrue="1" operator="between">
      <formula>0.03</formula>
      <formula>0.08</formula>
    </cfRule>
    <cfRule type="cellIs" dxfId="15" priority="71" stopIfTrue="1" operator="lessThan">
      <formula>-0.8</formula>
    </cfRule>
    <cfRule type="cellIs" dxfId="14" priority="72" stopIfTrue="1" operator="greaterThan">
      <formula>0.8</formula>
    </cfRule>
  </conditionalFormatting>
  <conditionalFormatting sqref="AO37">
    <cfRule type="cellIs" dxfId="13" priority="65" stopIfTrue="1" operator="between">
      <formula>-0.03</formula>
      <formula>-0.08</formula>
    </cfRule>
    <cfRule type="cellIs" dxfId="12" priority="66" stopIfTrue="1" operator="between">
      <formula>0.03</formula>
      <formula>0.08</formula>
    </cfRule>
    <cfRule type="cellIs" dxfId="11" priority="67" stopIfTrue="1" operator="greaterThan">
      <formula>0.08</formula>
    </cfRule>
    <cfRule type="cellIs" dxfId="10" priority="68" stopIfTrue="1" operator="lessThan">
      <formula>-0.08</formula>
    </cfRule>
  </conditionalFormatting>
  <conditionalFormatting sqref="AO37">
    <cfRule type="cellIs" dxfId="9" priority="64" stopIfTrue="1" operator="greaterThan">
      <formula>2</formula>
    </cfRule>
  </conditionalFormatting>
  <conditionalFormatting sqref="AO17">
    <cfRule type="cellIs" dxfId="8" priority="55" stopIfTrue="1" operator="greaterThan">
      <formula>2</formula>
    </cfRule>
    <cfRule type="cellIs" dxfId="7" priority="56" stopIfTrue="1" operator="between">
      <formula>-0.03</formula>
      <formula>-0.08</formula>
    </cfRule>
    <cfRule type="cellIs" dxfId="6" priority="57" stopIfTrue="1" operator="between">
      <formula>0.03</formula>
      <formula>0.08</formula>
    </cfRule>
    <cfRule type="cellIs" dxfId="5" priority="58" stopIfTrue="1" operator="greaterThan">
      <formula>0.08</formula>
    </cfRule>
    <cfRule type="cellIs" dxfId="4" priority="59" stopIfTrue="1" operator="lessThan">
      <formula>-0.08</formula>
    </cfRule>
    <cfRule type="cellIs" dxfId="3" priority="60" stopIfTrue="1" operator="between">
      <formula>-0.03</formula>
      <formula>-0.08</formula>
    </cfRule>
    <cfRule type="cellIs" dxfId="2" priority="61" stopIfTrue="1" operator="between">
      <formula>0.03</formula>
      <formula>0.08</formula>
    </cfRule>
    <cfRule type="cellIs" dxfId="1" priority="62" stopIfTrue="1" operator="lessThan">
      <formula>-0.8</formula>
    </cfRule>
    <cfRule type="cellIs" dxfId="0" priority="63" stopIfTrue="1" operator="greaterThan">
      <formula>0.8</formula>
    </cfRule>
  </conditionalFormatting>
  <dataValidations count="1">
    <dataValidation type="list" allowBlank="1" showInputMessage="1" showErrorMessage="1" sqref="E9:E49" xr:uid="{00000000-0002-0000-0000-000000000000}">
      <formula1>Compositions</formula1>
    </dataValidation>
  </dataValidations>
  <hyperlinks>
    <hyperlink ref="BD35" r:id="rId1" xr:uid="{4B9DE0B4-0BD3-C542-8A4D-07B3525F9E92}"/>
    <hyperlink ref="BD39" r:id="rId2" xr:uid="{81A488C9-CF2F-7F40-AD50-24AF293ADDBE}"/>
    <hyperlink ref="BD38" r:id="rId3" xr:uid="{750F7970-5CAE-4241-AA52-BA12073AED04}"/>
    <hyperlink ref="BD37" r:id="rId4" xr:uid="{BE553FAF-00D5-4242-BD2D-A18BFCD9F82B}"/>
    <hyperlink ref="BD36" r:id="rId5" xr:uid="{057ABA4A-37B9-DF47-B422-30A961CAEEBE}"/>
    <hyperlink ref="BD29" r:id="rId6" xr:uid="{FD3B1FC8-FDDB-144C-8C42-4B7C4161858B}"/>
    <hyperlink ref="BD28" r:id="rId7" xr:uid="{7A96BF56-B408-624C-9CB3-B8ACE6E972C5}"/>
    <hyperlink ref="BD27" r:id="rId8" xr:uid="{4F78C45D-09B5-1C46-9EEB-A2E8F95A0B9F}"/>
    <hyperlink ref="BD20" r:id="rId9" xr:uid="{33C30AEA-3FFE-1B4B-A6B7-84FFC6B7380F}"/>
    <hyperlink ref="BD19" r:id="rId10" xr:uid="{B852542F-7572-C040-8F5D-25F61910E8D3}"/>
    <hyperlink ref="BD18" r:id="rId11" xr:uid="{431B0A37-1DA4-A54C-863A-4DF8426B53BC}"/>
    <hyperlink ref="BD15" r:id="rId12" xr:uid="{E9222625-680F-A843-9258-44B366349457}"/>
    <hyperlink ref="BD23" r:id="rId13" xr:uid="{2CFE494E-2A9C-C742-B99C-D698207E0B20}"/>
    <hyperlink ref="BD9" r:id="rId14" xr:uid="{BCF2DAB3-00C9-284C-8D8C-745A331ECA35}"/>
    <hyperlink ref="BD17" r:id="rId15" xr:uid="{ECE150B9-6860-DB4C-AD81-19D92DA9AE95}"/>
  </hyperlinks>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81"/>
  <sheetViews>
    <sheetView showRuler="0" workbookViewId="0">
      <selection activeCell="K27" sqref="K27"/>
    </sheetView>
  </sheetViews>
  <sheetFormatPr baseColWidth="10" defaultRowHeight="16" x14ac:dyDescent="0.2"/>
  <cols>
    <col min="2" max="2" width="12.6640625" bestFit="1" customWidth="1"/>
    <col min="3" max="3" width="10.83203125" style="128"/>
    <col min="5" max="5" width="13.6640625" customWidth="1"/>
    <col min="6" max="6" width="16.6640625" style="128" customWidth="1"/>
    <col min="7" max="7" width="10.83203125" customWidth="1"/>
    <col min="9" max="9" width="8" customWidth="1"/>
    <col min="10" max="10" width="31.83203125" customWidth="1"/>
    <col min="11" max="11" width="12.5" customWidth="1"/>
    <col min="12" max="12" width="131.1640625" customWidth="1"/>
  </cols>
  <sheetData>
    <row r="1" spans="2:13" x14ac:dyDescent="0.2">
      <c r="G1" s="2"/>
    </row>
    <row r="2" spans="2:13" x14ac:dyDescent="0.2">
      <c r="F2" s="137" t="s">
        <v>36</v>
      </c>
    </row>
    <row r="3" spans="2:13" x14ac:dyDescent="0.2">
      <c r="F3" s="136" t="s">
        <v>168</v>
      </c>
    </row>
    <row r="4" spans="2:13" x14ac:dyDescent="0.2">
      <c r="B4" s="1" t="s">
        <v>24</v>
      </c>
      <c r="C4" s="138" t="s">
        <v>51</v>
      </c>
      <c r="D4" s="1" t="s">
        <v>92</v>
      </c>
      <c r="E4" s="1" t="s">
        <v>91</v>
      </c>
      <c r="F4" s="129" t="s">
        <v>169</v>
      </c>
      <c r="G4" s="1" t="s">
        <v>26</v>
      </c>
      <c r="H4" s="11" t="s">
        <v>27</v>
      </c>
      <c r="I4" s="1" t="s">
        <v>85</v>
      </c>
      <c r="J4" s="1" t="s">
        <v>103</v>
      </c>
      <c r="K4" s="1"/>
      <c r="L4" s="1" t="s">
        <v>115</v>
      </c>
    </row>
    <row r="5" spans="2:13" ht="3" customHeight="1" x14ac:dyDescent="0.2">
      <c r="B5" s="1"/>
      <c r="C5" s="129"/>
      <c r="D5" s="1"/>
      <c r="E5" s="1"/>
      <c r="F5" s="129"/>
      <c r="G5" s="1"/>
      <c r="H5" s="11"/>
    </row>
    <row r="6" spans="2:13" ht="16" customHeight="1" x14ac:dyDescent="0.2">
      <c r="B6" s="28" t="s">
        <v>100</v>
      </c>
      <c r="C6" s="128">
        <v>1</v>
      </c>
      <c r="D6" s="28" t="s">
        <v>100</v>
      </c>
      <c r="E6" s="14"/>
      <c r="F6" s="130">
        <f>(2.55+2.8)/2</f>
        <v>2.6749999999999998</v>
      </c>
      <c r="G6" s="1"/>
      <c r="H6" s="11"/>
      <c r="I6" t="s">
        <v>174</v>
      </c>
      <c r="L6" t="s">
        <v>150</v>
      </c>
    </row>
    <row r="7" spans="2:13" ht="16" customHeight="1" x14ac:dyDescent="0.2">
      <c r="B7" s="28" t="s">
        <v>71</v>
      </c>
      <c r="C7" s="128">
        <v>1</v>
      </c>
      <c r="D7" s="28" t="s">
        <v>71</v>
      </c>
      <c r="E7" s="14"/>
      <c r="F7" s="130">
        <v>4.5060000000000002</v>
      </c>
      <c r="G7" s="1"/>
      <c r="H7" s="11"/>
      <c r="I7" t="s">
        <v>73</v>
      </c>
      <c r="L7" t="s">
        <v>151</v>
      </c>
    </row>
    <row r="8" spans="2:13" ht="16" customHeight="1" x14ac:dyDescent="0.2">
      <c r="B8" s="28" t="s">
        <v>77</v>
      </c>
      <c r="C8" s="128">
        <v>1</v>
      </c>
      <c r="D8" s="28" t="s">
        <v>77</v>
      </c>
      <c r="E8" s="14"/>
      <c r="F8" s="130">
        <v>7.1349999999999998</v>
      </c>
      <c r="G8" s="1"/>
      <c r="H8" s="11"/>
      <c r="I8" t="s">
        <v>78</v>
      </c>
      <c r="L8" t="s">
        <v>116</v>
      </c>
    </row>
    <row r="9" spans="2:13" x14ac:dyDescent="0.2">
      <c r="B9" t="s">
        <v>43</v>
      </c>
      <c r="C9" s="128">
        <v>1</v>
      </c>
      <c r="D9" t="s">
        <v>43</v>
      </c>
      <c r="E9" s="14"/>
      <c r="F9" s="130">
        <v>7.28</v>
      </c>
      <c r="G9" s="2"/>
      <c r="H9" s="9"/>
      <c r="I9" t="s">
        <v>79</v>
      </c>
      <c r="L9" t="s">
        <v>132</v>
      </c>
    </row>
    <row r="10" spans="2:13" x14ac:dyDescent="0.2">
      <c r="B10" t="s">
        <v>44</v>
      </c>
      <c r="C10" s="128">
        <v>1</v>
      </c>
      <c r="D10" t="s">
        <v>44</v>
      </c>
      <c r="E10" s="14"/>
      <c r="F10" s="130">
        <f>(7.44+7.21)/2</f>
        <v>7.3250000000000002</v>
      </c>
      <c r="G10" s="2"/>
      <c r="H10" s="9"/>
      <c r="I10" t="s">
        <v>72</v>
      </c>
    </row>
    <row r="11" spans="2:13" x14ac:dyDescent="0.2">
      <c r="B11" t="s">
        <v>74</v>
      </c>
      <c r="C11" s="128">
        <v>1</v>
      </c>
      <c r="D11" t="s">
        <v>74</v>
      </c>
      <c r="E11" s="14"/>
      <c r="F11" s="130">
        <v>7.85</v>
      </c>
      <c r="G11" s="2"/>
      <c r="H11" s="9"/>
      <c r="I11" t="s">
        <v>75</v>
      </c>
      <c r="L11" t="s">
        <v>117</v>
      </c>
    </row>
    <row r="12" spans="2:13" x14ac:dyDescent="0.2">
      <c r="B12" t="s">
        <v>101</v>
      </c>
      <c r="C12" s="128">
        <v>1</v>
      </c>
      <c r="D12" t="s">
        <v>74</v>
      </c>
      <c r="E12" s="14"/>
      <c r="F12" s="130">
        <v>7.85</v>
      </c>
      <c r="G12" s="2"/>
      <c r="H12" s="9"/>
      <c r="J12" t="s">
        <v>102</v>
      </c>
    </row>
    <row r="13" spans="2:13" ht="14" customHeight="1" x14ac:dyDescent="0.2">
      <c r="B13" t="s">
        <v>99</v>
      </c>
      <c r="C13" s="128">
        <v>0.88</v>
      </c>
      <c r="D13" s="14" t="s">
        <v>18</v>
      </c>
      <c r="E13" s="14" t="s">
        <v>100</v>
      </c>
      <c r="F13" s="130">
        <f>VLOOKUP(D13,Metals,5,FALSE)*C13+VLOOKUP(E13,Metals,5,FALSE)*(1-C13)</f>
        <v>8.1793999999999993</v>
      </c>
      <c r="G13" s="2"/>
      <c r="H13" s="9"/>
      <c r="J13" t="s">
        <v>173</v>
      </c>
      <c r="L13" t="s">
        <v>120</v>
      </c>
    </row>
    <row r="14" spans="2:13" ht="14" customHeight="1" x14ac:dyDescent="0.2">
      <c r="B14" t="s">
        <v>96</v>
      </c>
      <c r="C14" s="128">
        <v>0.84</v>
      </c>
      <c r="D14" s="14" t="s">
        <v>18</v>
      </c>
      <c r="E14" s="14" t="s">
        <v>77</v>
      </c>
      <c r="F14" s="130">
        <f>VLOOKUP(D14,Metals,5,FALSE)*C14+VLOOKUP(E14,Metals,5,FALSE)*(1-C14)</f>
        <v>8.6427999999999994</v>
      </c>
      <c r="G14" s="2"/>
      <c r="H14" s="9"/>
      <c r="J14" t="s">
        <v>173</v>
      </c>
      <c r="M14" s="14"/>
    </row>
    <row r="15" spans="2:13" x14ac:dyDescent="0.2">
      <c r="B15" t="s">
        <v>54</v>
      </c>
      <c r="C15" s="128">
        <v>0.85</v>
      </c>
      <c r="D15" t="s">
        <v>18</v>
      </c>
      <c r="E15" s="14" t="s">
        <v>44</v>
      </c>
      <c r="F15" s="130">
        <f>VLOOKUP(D15,Metals,5,FALSE)*C15+VLOOKUP(E15,Metals,5,FALSE)*(1-C15)</f>
        <v>8.6892499999999995</v>
      </c>
      <c r="G15" s="2"/>
      <c r="H15" s="9"/>
      <c r="L15" t="s">
        <v>123</v>
      </c>
    </row>
    <row r="16" spans="2:13" x14ac:dyDescent="0.2">
      <c r="B16" s="29" t="s">
        <v>52</v>
      </c>
      <c r="C16" s="128">
        <v>1</v>
      </c>
      <c r="D16" t="s">
        <v>52</v>
      </c>
      <c r="E16" s="14"/>
      <c r="F16" s="130">
        <v>8.8000000000000007</v>
      </c>
      <c r="G16" s="8"/>
      <c r="H16" s="8"/>
      <c r="I16" t="s">
        <v>80</v>
      </c>
    </row>
    <row r="17" spans="2:12" x14ac:dyDescent="0.2">
      <c r="B17" t="s">
        <v>53</v>
      </c>
      <c r="C17" s="128">
        <f>75/100</f>
        <v>0.75</v>
      </c>
      <c r="D17" t="s">
        <v>18</v>
      </c>
      <c r="E17" s="14" t="s">
        <v>52</v>
      </c>
      <c r="F17" s="130">
        <f>VLOOKUP(D17,Metals,5,FALSE)*C17+VLOOKUP(E17,Metals,5,FALSE)*(1-C17)</f>
        <v>8.8975000000000009</v>
      </c>
      <c r="G17" s="2"/>
      <c r="H17" s="9"/>
      <c r="L17" t="s">
        <v>118</v>
      </c>
    </row>
    <row r="18" spans="2:12" x14ac:dyDescent="0.2">
      <c r="B18" t="s">
        <v>18</v>
      </c>
      <c r="C18" s="128">
        <v>1</v>
      </c>
      <c r="D18" t="s">
        <v>18</v>
      </c>
      <c r="E18" s="14"/>
      <c r="F18" s="130">
        <v>8.93</v>
      </c>
      <c r="G18" s="8">
        <v>2.61</v>
      </c>
      <c r="H18" s="8">
        <f>IF(G18="","",G18/16)</f>
        <v>0.16312499999999999</v>
      </c>
      <c r="I18" t="s">
        <v>76</v>
      </c>
    </row>
    <row r="19" spans="2:12" x14ac:dyDescent="0.2">
      <c r="B19" t="s">
        <v>225</v>
      </c>
      <c r="C19" s="128">
        <v>0.3</v>
      </c>
      <c r="D19" t="s">
        <v>21</v>
      </c>
      <c r="E19" s="14" t="s">
        <v>18</v>
      </c>
      <c r="F19" s="130">
        <f>VLOOKUP(D19,Metals,5,FALSE)*C19+VLOOKUP(E19,Metals,5,FALSE)*(1-C19)</f>
        <v>9.3979999999999997</v>
      </c>
      <c r="G19" s="2"/>
      <c r="H19" s="9"/>
      <c r="L19" t="s">
        <v>131</v>
      </c>
    </row>
    <row r="20" spans="2:12" x14ac:dyDescent="0.2">
      <c r="B20" t="s">
        <v>195</v>
      </c>
      <c r="C20" s="128">
        <v>0.72</v>
      </c>
      <c r="D20" t="s">
        <v>21</v>
      </c>
      <c r="E20" s="14" t="s">
        <v>18</v>
      </c>
      <c r="F20" s="130">
        <f>VLOOKUP(D20,Metals,5,FALSE)*C20+VLOOKUP(E20,Metals,5,FALSE)*(1-C20)</f>
        <v>10.0532</v>
      </c>
      <c r="G20" s="2"/>
      <c r="H20" s="9"/>
      <c r="L20" t="s">
        <v>133</v>
      </c>
    </row>
    <row r="21" spans="2:12" x14ac:dyDescent="0.2">
      <c r="B21" t="s">
        <v>190</v>
      </c>
      <c r="C21" s="128">
        <v>0.8</v>
      </c>
      <c r="D21" t="s">
        <v>21</v>
      </c>
      <c r="E21" s="14" t="s">
        <v>18</v>
      </c>
      <c r="F21" s="130">
        <f>VLOOKUP(D21,Metals,5,FALSE)*C21+VLOOKUP(E21,Metals,5,FALSE)*(1-C21)</f>
        <v>10.178000000000001</v>
      </c>
      <c r="G21" s="2"/>
      <c r="H21" s="9"/>
    </row>
    <row r="22" spans="2:12" x14ac:dyDescent="0.2">
      <c r="B22" t="s">
        <v>87</v>
      </c>
      <c r="C22" s="128">
        <f>9/10</f>
        <v>0.9</v>
      </c>
      <c r="D22" t="s">
        <v>21</v>
      </c>
      <c r="E22" s="14" t="s">
        <v>18</v>
      </c>
      <c r="F22" s="130">
        <f>VLOOKUP(D22,Metals,5,FALSE)*C22+VLOOKUP(E22,Metals,5,FALSE)*(1-C22)</f>
        <v>10.334</v>
      </c>
      <c r="G22" s="2"/>
      <c r="H22" s="9"/>
      <c r="L22" t="s">
        <v>152</v>
      </c>
    </row>
    <row r="23" spans="2:12" x14ac:dyDescent="0.2">
      <c r="B23" t="s">
        <v>90</v>
      </c>
      <c r="C23" s="128">
        <f>22/24</f>
        <v>0.91666666666666663</v>
      </c>
      <c r="D23" t="s">
        <v>21</v>
      </c>
      <c r="E23" s="14" t="s">
        <v>18</v>
      </c>
      <c r="F23" s="130">
        <f>VLOOKUP(D23,Metals,5,FALSE)*C23+VLOOKUP(E23,Metals,5,FALSE)*(1-C23)</f>
        <v>10.36</v>
      </c>
      <c r="G23" s="2"/>
      <c r="H23" s="9"/>
      <c r="J23" t="s">
        <v>171</v>
      </c>
    </row>
    <row r="24" spans="2:12" x14ac:dyDescent="0.2">
      <c r="B24" t="s">
        <v>88</v>
      </c>
      <c r="C24" s="128">
        <v>0.92500000000000004</v>
      </c>
      <c r="D24" t="s">
        <v>21</v>
      </c>
      <c r="E24" s="14" t="s">
        <v>18</v>
      </c>
      <c r="F24" s="130">
        <f>VLOOKUP(D24,Metals,5,FALSE)*C24+VLOOKUP(E24,Metals,5,FALSE)*(1-C24)</f>
        <v>10.373000000000001</v>
      </c>
      <c r="G24" s="2"/>
      <c r="H24" s="9"/>
      <c r="J24" t="s">
        <v>172</v>
      </c>
      <c r="L24" t="s">
        <v>134</v>
      </c>
    </row>
    <row r="25" spans="2:12" ht="14" customHeight="1" x14ac:dyDescent="0.2">
      <c r="B25" t="s">
        <v>21</v>
      </c>
      <c r="C25" s="128">
        <v>1</v>
      </c>
      <c r="D25" t="s">
        <v>21</v>
      </c>
      <c r="E25" s="14"/>
      <c r="F25" s="130">
        <v>10.49</v>
      </c>
      <c r="G25" s="2"/>
      <c r="H25" s="9">
        <v>17.12</v>
      </c>
      <c r="I25" t="s">
        <v>82</v>
      </c>
      <c r="L25" t="s">
        <v>226</v>
      </c>
    </row>
    <row r="26" spans="2:12" x14ac:dyDescent="0.2">
      <c r="B26" t="s">
        <v>60</v>
      </c>
      <c r="C26" s="128">
        <v>1</v>
      </c>
      <c r="D26" t="s">
        <v>60</v>
      </c>
      <c r="E26" s="14"/>
      <c r="F26" s="130">
        <v>11.34</v>
      </c>
      <c r="G26" s="2"/>
      <c r="H26" s="9"/>
      <c r="I26" t="s">
        <v>83</v>
      </c>
    </row>
    <row r="27" spans="2:12" x14ac:dyDescent="0.2">
      <c r="B27" t="s">
        <v>211</v>
      </c>
      <c r="C27" s="128">
        <v>0.9</v>
      </c>
      <c r="D27" t="s">
        <v>23</v>
      </c>
      <c r="E27" s="14" t="s">
        <v>18</v>
      </c>
      <c r="F27" s="130">
        <f>VLOOKUP(D27,Metals,5,FALSE)*C27+VLOOKUP(E27,Metals,5,FALSE)*(1-C27)</f>
        <v>18.281000000000002</v>
      </c>
      <c r="G27" s="2"/>
      <c r="H27" s="9"/>
      <c r="L27" t="s">
        <v>119</v>
      </c>
    </row>
    <row r="28" spans="2:12" x14ac:dyDescent="0.2">
      <c r="B28" t="s">
        <v>89</v>
      </c>
      <c r="C28" s="128">
        <f>22/24</f>
        <v>0.91666666666666663</v>
      </c>
      <c r="D28" t="s">
        <v>23</v>
      </c>
      <c r="E28" s="14" t="s">
        <v>18</v>
      </c>
      <c r="F28" s="130">
        <f>VLOOKUP(D28,Metals,5,FALSE)*C28+VLOOKUP(E28,Metals,5,FALSE)*(1-C28)</f>
        <v>18.454166666666669</v>
      </c>
      <c r="G28" s="2"/>
      <c r="H28" s="9"/>
      <c r="J28" t="s">
        <v>171</v>
      </c>
    </row>
    <row r="29" spans="2:12" x14ac:dyDescent="0.2">
      <c r="B29" t="s">
        <v>165</v>
      </c>
      <c r="C29" s="128">
        <v>0.91669999999999996</v>
      </c>
      <c r="D29" s="14" t="s">
        <v>23</v>
      </c>
      <c r="E29" s="14" t="s">
        <v>167</v>
      </c>
      <c r="F29" s="130">
        <f>VLOOKUP(D29,Metals,5,FALSE)*0.9167+VLOOKUP("silver",Metals,5,FALSE)*0.03+VLOOKUP("copper",Metals,5,FALSE)*0.0533</f>
        <v>18.501312999999996</v>
      </c>
      <c r="G29" s="2"/>
      <c r="H29" s="9"/>
      <c r="J29" t="s">
        <v>166</v>
      </c>
      <c r="L29" t="s">
        <v>121</v>
      </c>
    </row>
    <row r="30" spans="2:12" x14ac:dyDescent="0.2">
      <c r="B30" t="s">
        <v>23</v>
      </c>
      <c r="C30" s="128">
        <v>1</v>
      </c>
      <c r="D30" t="s">
        <v>23</v>
      </c>
      <c r="E30" s="14"/>
      <c r="F30" s="130">
        <v>19.32</v>
      </c>
      <c r="G30" s="2"/>
      <c r="H30" s="9">
        <v>80</v>
      </c>
      <c r="I30" t="s">
        <v>81</v>
      </c>
      <c r="L30" t="s">
        <v>227</v>
      </c>
    </row>
    <row r="31" spans="2:12" x14ac:dyDescent="0.2">
      <c r="B31" t="s">
        <v>61</v>
      </c>
      <c r="C31" s="128">
        <v>1</v>
      </c>
      <c r="D31" t="s">
        <v>61</v>
      </c>
      <c r="E31" s="14"/>
      <c r="F31" s="130">
        <v>19.600000000000001</v>
      </c>
      <c r="G31" s="2"/>
      <c r="H31" s="9"/>
      <c r="I31" t="s">
        <v>84</v>
      </c>
      <c r="L31" t="s">
        <v>135</v>
      </c>
    </row>
    <row r="32" spans="2:12" x14ac:dyDescent="0.2">
      <c r="B32" t="s">
        <v>70</v>
      </c>
      <c r="C32" s="128">
        <v>1</v>
      </c>
      <c r="D32" t="s">
        <v>70</v>
      </c>
      <c r="E32" s="14"/>
      <c r="F32" s="130">
        <v>21.4</v>
      </c>
      <c r="G32" s="2"/>
      <c r="H32" s="9"/>
      <c r="I32" t="s">
        <v>86</v>
      </c>
      <c r="L32" t="s">
        <v>136</v>
      </c>
    </row>
    <row r="33" spans="2:12" x14ac:dyDescent="0.2">
      <c r="D33" s="14"/>
      <c r="E33" s="14"/>
      <c r="F33" s="130"/>
      <c r="G33" s="2"/>
      <c r="H33" s="9"/>
    </row>
    <row r="34" spans="2:12" x14ac:dyDescent="0.2">
      <c r="D34" s="14"/>
      <c r="E34" s="14"/>
      <c r="F34" s="130"/>
      <c r="G34" s="2"/>
      <c r="H34" s="9"/>
      <c r="L34" t="s">
        <v>122</v>
      </c>
    </row>
    <row r="35" spans="2:12" x14ac:dyDescent="0.2">
      <c r="B35" s="2"/>
    </row>
    <row r="36" spans="2:12" ht="17" thickBot="1" x14ac:dyDescent="0.25">
      <c r="B36" s="2"/>
      <c r="L36" t="s">
        <v>228</v>
      </c>
    </row>
    <row r="37" spans="2:12" x14ac:dyDescent="0.2">
      <c r="B37" s="155">
        <v>31.103476799999999</v>
      </c>
      <c r="C37" s="139" t="s">
        <v>16</v>
      </c>
      <c r="D37" s="140"/>
      <c r="E37" s="2"/>
      <c r="G37" s="2"/>
    </row>
    <row r="38" spans="2:12" x14ac:dyDescent="0.2">
      <c r="B38" s="156">
        <f>GramsPerOz*16</f>
        <v>453.59236800000002</v>
      </c>
      <c r="C38" s="141" t="s">
        <v>20</v>
      </c>
      <c r="D38" s="92"/>
      <c r="E38" s="2"/>
      <c r="G38" s="2"/>
      <c r="L38" t="s">
        <v>124</v>
      </c>
    </row>
    <row r="39" spans="2:12" x14ac:dyDescent="0.2">
      <c r="B39" s="156">
        <v>28.349523000000001</v>
      </c>
      <c r="C39" s="141" t="s">
        <v>25</v>
      </c>
      <c r="D39" s="92"/>
      <c r="E39" s="2"/>
      <c r="G39" s="2"/>
    </row>
    <row r="40" spans="2:12" ht="17" thickBot="1" x14ac:dyDescent="0.25">
      <c r="B40" s="157">
        <v>6.4798900000000006E-2</v>
      </c>
      <c r="C40" s="153" t="s">
        <v>184</v>
      </c>
      <c r="D40" s="154"/>
      <c r="L40" t="s">
        <v>229</v>
      </c>
    </row>
    <row r="42" spans="2:12" x14ac:dyDescent="0.2">
      <c r="L42" t="s">
        <v>125</v>
      </c>
    </row>
    <row r="44" spans="2:12" x14ac:dyDescent="0.2">
      <c r="L44" t="s">
        <v>126</v>
      </c>
    </row>
    <row r="45" spans="2:12" x14ac:dyDescent="0.2">
      <c r="L45" t="s">
        <v>127</v>
      </c>
    </row>
    <row r="46" spans="2:12" x14ac:dyDescent="0.2">
      <c r="L46" t="s">
        <v>128</v>
      </c>
    </row>
    <row r="47" spans="2:12" x14ac:dyDescent="0.2">
      <c r="L47" t="s">
        <v>129</v>
      </c>
    </row>
    <row r="48" spans="2:12" x14ac:dyDescent="0.2">
      <c r="L48" t="s">
        <v>130</v>
      </c>
    </row>
    <row r="49" spans="6:12" customFormat="1" x14ac:dyDescent="0.2">
      <c r="F49" s="128"/>
      <c r="L49" t="s">
        <v>153</v>
      </c>
    </row>
    <row r="50" spans="6:12" customFormat="1" x14ac:dyDescent="0.2">
      <c r="F50" s="128"/>
    </row>
    <row r="51" spans="6:12" x14ac:dyDescent="0.2">
      <c r="L51" t="s">
        <v>230</v>
      </c>
    </row>
    <row r="52" spans="6:12" customFormat="1" x14ac:dyDescent="0.2">
      <c r="F52" s="128"/>
      <c r="L52" t="s">
        <v>154</v>
      </c>
    </row>
    <row r="53" spans="6:12" customFormat="1" x14ac:dyDescent="0.2">
      <c r="F53" s="128"/>
      <c r="L53" t="s">
        <v>155</v>
      </c>
    </row>
    <row r="54" spans="6:12" customFormat="1" x14ac:dyDescent="0.2">
      <c r="F54" s="128"/>
      <c r="L54" t="s">
        <v>231</v>
      </c>
    </row>
    <row r="56" spans="6:12" customFormat="1" x14ac:dyDescent="0.2">
      <c r="F56" s="128"/>
      <c r="L56" t="s">
        <v>156</v>
      </c>
    </row>
    <row r="57" spans="6:12" customFormat="1" x14ac:dyDescent="0.2">
      <c r="F57" s="128"/>
      <c r="L57" t="s">
        <v>157</v>
      </c>
    </row>
    <row r="59" spans="6:12" customFormat="1" x14ac:dyDescent="0.2">
      <c r="F59" s="128"/>
      <c r="L59" t="s">
        <v>158</v>
      </c>
    </row>
    <row r="60" spans="6:12" customFormat="1" x14ac:dyDescent="0.2">
      <c r="F60" s="128"/>
      <c r="L60" t="s">
        <v>160</v>
      </c>
    </row>
    <row r="61" spans="6:12" customFormat="1" x14ac:dyDescent="0.2">
      <c r="F61" s="128"/>
      <c r="L61" t="s">
        <v>159</v>
      </c>
    </row>
    <row r="63" spans="6:12" customFormat="1" x14ac:dyDescent="0.2">
      <c r="F63" s="128"/>
      <c r="L63" t="s">
        <v>162</v>
      </c>
    </row>
    <row r="64" spans="6:12" customFormat="1" x14ac:dyDescent="0.2">
      <c r="F64" s="128"/>
      <c r="L64" t="s">
        <v>161</v>
      </c>
    </row>
    <row r="66" spans="6:12" customFormat="1" x14ac:dyDescent="0.2">
      <c r="F66" s="128"/>
      <c r="L66" t="s">
        <v>232</v>
      </c>
    </row>
    <row r="67" spans="6:12" customFormat="1" x14ac:dyDescent="0.2">
      <c r="F67" s="128"/>
      <c r="L67" t="s">
        <v>137</v>
      </c>
    </row>
    <row r="68" spans="6:12" customFormat="1" x14ac:dyDescent="0.2">
      <c r="F68" s="128"/>
      <c r="L68" t="s">
        <v>138</v>
      </c>
    </row>
    <row r="69" spans="6:12" customFormat="1" x14ac:dyDescent="0.2">
      <c r="F69" s="128"/>
      <c r="L69" t="s">
        <v>139</v>
      </c>
    </row>
    <row r="70" spans="6:12" customFormat="1" x14ac:dyDescent="0.2">
      <c r="F70" s="128"/>
      <c r="L70" t="s">
        <v>146</v>
      </c>
    </row>
    <row r="71" spans="6:12" customFormat="1" x14ac:dyDescent="0.2">
      <c r="F71" s="128"/>
      <c r="L71" t="s">
        <v>140</v>
      </c>
    </row>
    <row r="72" spans="6:12" customFormat="1" x14ac:dyDescent="0.2">
      <c r="F72" s="128"/>
      <c r="L72" t="s">
        <v>141</v>
      </c>
    </row>
    <row r="73" spans="6:12" customFormat="1" x14ac:dyDescent="0.2">
      <c r="F73" s="128"/>
      <c r="L73" t="s">
        <v>142</v>
      </c>
    </row>
    <row r="75" spans="6:12" customFormat="1" x14ac:dyDescent="0.2">
      <c r="F75" s="128"/>
      <c r="L75" t="s">
        <v>143</v>
      </c>
    </row>
    <row r="76" spans="6:12" customFormat="1" x14ac:dyDescent="0.2">
      <c r="F76" s="128"/>
      <c r="L76" t="s">
        <v>163</v>
      </c>
    </row>
    <row r="78" spans="6:12" customFormat="1" x14ac:dyDescent="0.2">
      <c r="F78" s="128"/>
      <c r="L78" t="s">
        <v>144</v>
      </c>
    </row>
    <row r="79" spans="6:12" customFormat="1" x14ac:dyDescent="0.2">
      <c r="F79" s="128"/>
      <c r="L79" t="s">
        <v>145</v>
      </c>
    </row>
    <row r="81" spans="6:12" customFormat="1" x14ac:dyDescent="0.2">
      <c r="F81" s="128"/>
      <c r="L81" t="s">
        <v>164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17</vt:i4>
      </vt:variant>
    </vt:vector>
  </HeadingPairs>
  <TitlesOfParts>
    <vt:vector size="19" baseType="lpstr">
      <vt:lpstr>Coins</vt:lpstr>
      <vt:lpstr>constants</vt:lpstr>
      <vt:lpstr>BrassWeight</vt:lpstr>
      <vt:lpstr>Compositions</vt:lpstr>
      <vt:lpstr>CopperWeight</vt:lpstr>
      <vt:lpstr>GoldWeight</vt:lpstr>
      <vt:lpstr>GramsPerGrain</vt:lpstr>
      <vt:lpstr>GramsPerOz</vt:lpstr>
      <vt:lpstr>GramsPerPound</vt:lpstr>
      <vt:lpstr>GramsPerTroyOz</vt:lpstr>
      <vt:lpstr>IronWeight</vt:lpstr>
      <vt:lpstr>LeadWeight</vt:lpstr>
      <vt:lpstr>ManganeseWeight</vt:lpstr>
      <vt:lpstr>Metals</vt:lpstr>
      <vt:lpstr>NickelWeight</vt:lpstr>
      <vt:lpstr>PlatinumWeight</vt:lpstr>
      <vt:lpstr>SilverWeight</vt:lpstr>
      <vt:lpstr>TinWeight</vt:lpstr>
      <vt:lpstr>TungstenWeight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2017-01-20T02:14:36Z</dcterms:created>
  <dcterms:modified xsi:type="dcterms:W3CDTF">2019-02-28T18:57:06Z</dcterms:modified>
</cp:coreProperties>
</file>