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9"/>
  <workbookPr/>
  <mc:AlternateContent xmlns:mc="http://schemas.openxmlformats.org/markup-compatibility/2006">
    <mc:Choice Requires="x15">
      <x15ac:absPath xmlns:x15ac="http://schemas.microsoft.com/office/spreadsheetml/2010/11/ac" url="/Users/virtual1/Documents/ My Documents/Hobbies/numismatics (coin and bill collecting/"/>
    </mc:Choice>
  </mc:AlternateContent>
  <xr:revisionPtr revIDLastSave="0" documentId="13_ncr:1_{2B4F0095-2228-A544-8D03-51D1D15BF4C0}" xr6:coauthVersionLast="36" xr6:coauthVersionMax="36" xr10:uidLastSave="{00000000-0000-0000-0000-000000000000}"/>
  <bookViews>
    <workbookView xWindow="160" yWindow="800" windowWidth="34860" windowHeight="17680" tabRatio="500" xr2:uid="{00000000-000D-0000-FFFF-FFFF00000000}"/>
  </bookViews>
  <sheets>
    <sheet name="Coins" sheetId="1" r:id="rId1"/>
    <sheet name="constants" sheetId="2" r:id="rId2"/>
  </sheets>
  <definedNames>
    <definedName name="Compositions">constants!$B$6:$B$23</definedName>
    <definedName name="CopperWeight">constants!$F$14</definedName>
    <definedName name="GoldWeight">constants!$F$21</definedName>
    <definedName name="GramsPerOz">constants!$B$35</definedName>
    <definedName name="GramsPerPound">constants!$B$34</definedName>
    <definedName name="GramsPerTroyOz">constants!$B$33</definedName>
    <definedName name="IronWeight">constants!$F$10</definedName>
    <definedName name="LeadWeight">constants!$F$19</definedName>
    <definedName name="ManganeseWeight">constants!$F$9</definedName>
    <definedName name="Metals">constants!$B$6:$H$30</definedName>
    <definedName name="NickelWeight">constants!$F$12</definedName>
    <definedName name="PlatinumWeight">constants!$F$23</definedName>
    <definedName name="SilverWeight">constants!$F$18</definedName>
    <definedName name="TinWeight">constants!$F$8</definedName>
    <definedName name="TungstenWeight">constants!$F$22</definedName>
  </definedName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4" i="1" l="1"/>
  <c r="C20" i="2"/>
  <c r="F20" i="2"/>
  <c r="F17" i="2"/>
  <c r="C16" i="2"/>
  <c r="F16" i="2"/>
  <c r="C15" i="2"/>
  <c r="F15" i="2"/>
  <c r="F9" i="2"/>
  <c r="F11" i="2"/>
  <c r="C13" i="2"/>
  <c r="F13" i="2"/>
  <c r="AI41" i="1"/>
  <c r="AH41" i="1"/>
  <c r="AG41" i="1"/>
  <c r="AE41" i="1"/>
  <c r="AD41" i="1"/>
  <c r="AA41" i="1"/>
  <c r="AC41" i="1"/>
  <c r="Z41" i="1"/>
  <c r="AI40" i="1"/>
  <c r="AH40" i="1"/>
  <c r="AG40" i="1"/>
  <c r="AE40" i="1"/>
  <c r="AD40" i="1"/>
  <c r="AA40" i="1"/>
  <c r="AC40" i="1"/>
  <c r="Z40" i="1"/>
  <c r="AI39" i="1"/>
  <c r="AH39" i="1"/>
  <c r="AG39" i="1"/>
  <c r="AE39" i="1"/>
  <c r="AD39" i="1"/>
  <c r="AA39" i="1"/>
  <c r="AC39" i="1"/>
  <c r="Z39" i="1"/>
  <c r="AI38" i="1"/>
  <c r="AH38" i="1"/>
  <c r="AG38" i="1"/>
  <c r="AE38" i="1"/>
  <c r="AD38" i="1"/>
  <c r="AA38" i="1"/>
  <c r="AC38" i="1"/>
  <c r="Z38" i="1"/>
  <c r="AI37" i="1"/>
  <c r="AH37" i="1"/>
  <c r="AG37" i="1"/>
  <c r="W37" i="1"/>
  <c r="AE37" i="1"/>
  <c r="L37" i="1"/>
  <c r="AD37" i="1"/>
  <c r="U37" i="1"/>
  <c r="V37" i="1"/>
  <c r="AA37" i="1"/>
  <c r="AC37" i="1"/>
  <c r="Z37" i="1"/>
  <c r="AI36" i="1"/>
  <c r="AH36" i="1"/>
  <c r="AG36" i="1"/>
  <c r="W36" i="1"/>
  <c r="AE36" i="1"/>
  <c r="L36" i="1"/>
  <c r="AD36" i="1"/>
  <c r="U36" i="1"/>
  <c r="V36" i="1"/>
  <c r="AA36" i="1"/>
  <c r="AC36" i="1"/>
  <c r="Z36" i="1"/>
  <c r="AI35" i="1"/>
  <c r="AH35" i="1"/>
  <c r="AG35" i="1"/>
  <c r="W35" i="1"/>
  <c r="AE35" i="1"/>
  <c r="L35" i="1"/>
  <c r="AD35" i="1"/>
  <c r="U35" i="1"/>
  <c r="V35" i="1"/>
  <c r="AA35" i="1"/>
  <c r="AC35" i="1"/>
  <c r="Z35" i="1"/>
  <c r="AI34" i="1"/>
  <c r="AH34" i="1"/>
  <c r="AG34" i="1"/>
  <c r="W34" i="1"/>
  <c r="AE34" i="1"/>
  <c r="L34" i="1"/>
  <c r="AD34" i="1"/>
  <c r="U34" i="1"/>
  <c r="V34" i="1"/>
  <c r="AA34" i="1"/>
  <c r="AC34" i="1"/>
  <c r="Z34" i="1"/>
  <c r="AI33" i="1"/>
  <c r="AH33" i="1"/>
  <c r="AG33" i="1"/>
  <c r="W33" i="1"/>
  <c r="AE33" i="1"/>
  <c r="L33" i="1"/>
  <c r="AD33" i="1"/>
  <c r="U33" i="1"/>
  <c r="V33" i="1"/>
  <c r="AA33" i="1"/>
  <c r="AC33" i="1"/>
  <c r="Z33" i="1"/>
  <c r="AI32" i="1"/>
  <c r="AH32" i="1"/>
  <c r="AG32" i="1"/>
  <c r="W32" i="1"/>
  <c r="AE32" i="1"/>
  <c r="L32" i="1"/>
  <c r="AD32" i="1"/>
  <c r="U32" i="1"/>
  <c r="V32" i="1"/>
  <c r="AA32" i="1"/>
  <c r="AC32" i="1"/>
  <c r="Z32" i="1"/>
  <c r="AI31" i="1"/>
  <c r="AH31" i="1"/>
  <c r="AG31" i="1"/>
  <c r="W31" i="1"/>
  <c r="AE31" i="1"/>
  <c r="L31" i="1"/>
  <c r="AD31" i="1"/>
  <c r="U31" i="1"/>
  <c r="V31" i="1"/>
  <c r="AA31" i="1"/>
  <c r="AC31" i="1"/>
  <c r="Z31" i="1"/>
  <c r="AI30" i="1"/>
  <c r="AH30" i="1"/>
  <c r="AG30" i="1"/>
  <c r="W30" i="1"/>
  <c r="AE30" i="1"/>
  <c r="L30" i="1"/>
  <c r="AD30" i="1"/>
  <c r="U30" i="1"/>
  <c r="V30" i="1"/>
  <c r="AA30" i="1"/>
  <c r="AC30" i="1"/>
  <c r="Z30" i="1"/>
  <c r="AI29" i="1"/>
  <c r="AH29" i="1"/>
  <c r="AG29" i="1"/>
  <c r="W29" i="1"/>
  <c r="AE29" i="1"/>
  <c r="L29" i="1"/>
  <c r="AD29" i="1"/>
  <c r="U29" i="1"/>
  <c r="V29" i="1"/>
  <c r="AA29" i="1"/>
  <c r="AC29" i="1"/>
  <c r="Z29" i="1"/>
  <c r="AI28" i="1"/>
  <c r="AH28" i="1"/>
  <c r="AG28" i="1"/>
  <c r="W28" i="1"/>
  <c r="AE28" i="1"/>
  <c r="L28" i="1"/>
  <c r="AD28" i="1"/>
  <c r="U28" i="1"/>
  <c r="V28" i="1"/>
  <c r="AA28" i="1"/>
  <c r="AC28" i="1"/>
  <c r="Z28" i="1"/>
  <c r="AI27" i="1"/>
  <c r="AH27" i="1"/>
  <c r="AG27" i="1"/>
  <c r="W27" i="1"/>
  <c r="AE27" i="1"/>
  <c r="L27" i="1"/>
  <c r="AD27" i="1"/>
  <c r="U27" i="1"/>
  <c r="V27" i="1"/>
  <c r="AA27" i="1"/>
  <c r="AC27" i="1"/>
  <c r="Z27" i="1"/>
  <c r="AI26" i="1"/>
  <c r="AH26" i="1"/>
  <c r="AG26" i="1"/>
  <c r="W26" i="1"/>
  <c r="AE26" i="1"/>
  <c r="L26" i="1"/>
  <c r="AD26" i="1"/>
  <c r="U26" i="1"/>
  <c r="V26" i="1"/>
  <c r="AA26" i="1"/>
  <c r="AC26" i="1"/>
  <c r="Z26" i="1"/>
  <c r="AI25" i="1"/>
  <c r="AH25" i="1"/>
  <c r="AG25" i="1"/>
  <c r="W25" i="1"/>
  <c r="AE25" i="1"/>
  <c r="L25" i="1"/>
  <c r="AD25" i="1"/>
  <c r="U25" i="1"/>
  <c r="V25" i="1"/>
  <c r="AA25" i="1"/>
  <c r="AC25" i="1"/>
  <c r="Z25" i="1"/>
  <c r="AI24" i="1"/>
  <c r="AH24" i="1"/>
  <c r="H14" i="2"/>
  <c r="AG24" i="1"/>
  <c r="W24" i="1"/>
  <c r="Z24" i="1"/>
  <c r="AE24" i="1"/>
  <c r="AD24" i="1"/>
  <c r="U24" i="1"/>
  <c r="T24" i="1"/>
  <c r="V24" i="1"/>
  <c r="AA24" i="1"/>
  <c r="AC24" i="1"/>
  <c r="AI23" i="1"/>
  <c r="AH23" i="1"/>
  <c r="AG23" i="1"/>
  <c r="W23" i="1"/>
  <c r="AE23" i="1"/>
  <c r="L23" i="1"/>
  <c r="AD23" i="1"/>
  <c r="U23" i="1"/>
  <c r="V23" i="1"/>
  <c r="AA23" i="1"/>
  <c r="AC23" i="1"/>
  <c r="Z23" i="1"/>
  <c r="AI22" i="1"/>
  <c r="AH22" i="1"/>
  <c r="AG22" i="1"/>
  <c r="L22" i="1"/>
  <c r="AD22" i="1"/>
  <c r="AI21" i="1"/>
  <c r="AH21" i="1"/>
  <c r="AG21" i="1"/>
  <c r="AD21" i="1"/>
  <c r="AI20" i="1"/>
  <c r="AH20" i="1"/>
  <c r="AG20" i="1"/>
  <c r="AD20" i="1"/>
  <c r="AI19" i="1"/>
  <c r="AH19" i="1"/>
  <c r="AG19" i="1"/>
  <c r="L19" i="1"/>
  <c r="AD19" i="1"/>
  <c r="AI18" i="1"/>
  <c r="AH18" i="1"/>
  <c r="AG18" i="1"/>
  <c r="L18" i="1"/>
  <c r="AD18" i="1"/>
  <c r="AI17" i="1"/>
  <c r="AH17" i="1"/>
  <c r="AG17" i="1"/>
  <c r="L17" i="1"/>
  <c r="AD17" i="1"/>
  <c r="AI16" i="1"/>
  <c r="AH16" i="1"/>
  <c r="AG16" i="1"/>
  <c r="AD16" i="1"/>
  <c r="AI15" i="1"/>
  <c r="AH15" i="1"/>
  <c r="AG15" i="1"/>
  <c r="L15" i="1"/>
  <c r="AD15" i="1"/>
  <c r="AI14" i="1"/>
  <c r="AH14" i="1"/>
  <c r="AG14" i="1"/>
  <c r="L14" i="1"/>
  <c r="AD14" i="1"/>
  <c r="AI13" i="1"/>
  <c r="AH13" i="1"/>
  <c r="AG13" i="1"/>
  <c r="L13" i="1"/>
  <c r="AD13" i="1"/>
  <c r="AI12" i="1"/>
  <c r="AH12" i="1"/>
  <c r="AG12" i="1"/>
  <c r="L12" i="1"/>
  <c r="AD12" i="1"/>
  <c r="AI11" i="1"/>
  <c r="AH11" i="1"/>
  <c r="AG11" i="1"/>
  <c r="L11" i="1"/>
  <c r="AD11" i="1"/>
  <c r="U11" i="1"/>
  <c r="V11" i="1"/>
  <c r="AA11" i="1"/>
  <c r="AC11" i="1"/>
  <c r="AI10" i="1"/>
  <c r="AH10" i="1"/>
  <c r="AG10" i="1"/>
  <c r="L10" i="1"/>
  <c r="AD10" i="1"/>
  <c r="AI9" i="1"/>
  <c r="AH9" i="1"/>
  <c r="AG9" i="1"/>
  <c r="L9" i="1"/>
  <c r="AD9" i="1"/>
  <c r="AI8" i="1"/>
  <c r="AH8" i="1"/>
  <c r="AG8" i="1"/>
  <c r="L8" i="1"/>
  <c r="AD8" i="1"/>
  <c r="AI7" i="1"/>
  <c r="AH7" i="1"/>
  <c r="AG7" i="1"/>
  <c r="AI42" i="1"/>
  <c r="AH42" i="1"/>
  <c r="AG42" i="1"/>
  <c r="B34" i="2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W11" i="1"/>
  <c r="T11" i="1"/>
  <c r="W18" i="1"/>
  <c r="U18" i="1"/>
  <c r="T18" i="1"/>
  <c r="V18" i="1"/>
  <c r="T22" i="1"/>
  <c r="U22" i="1"/>
  <c r="V22" i="1"/>
  <c r="U21" i="1"/>
  <c r="T21" i="1"/>
  <c r="V21" i="1"/>
  <c r="U20" i="1"/>
  <c r="T20" i="1"/>
  <c r="V20" i="1"/>
  <c r="U19" i="1"/>
  <c r="T19" i="1"/>
  <c r="V19" i="1"/>
  <c r="T17" i="1"/>
  <c r="U17" i="1"/>
  <c r="V17" i="1"/>
  <c r="T16" i="1"/>
  <c r="U16" i="1"/>
  <c r="V16" i="1"/>
  <c r="T14" i="1"/>
  <c r="U14" i="1"/>
  <c r="V14" i="1"/>
  <c r="T13" i="1"/>
  <c r="U13" i="1"/>
  <c r="V13" i="1"/>
  <c r="U12" i="1"/>
  <c r="T12" i="1"/>
  <c r="V12" i="1"/>
  <c r="T10" i="1"/>
  <c r="U10" i="1"/>
  <c r="V10" i="1"/>
  <c r="T9" i="1"/>
  <c r="U9" i="1"/>
  <c r="V9" i="1"/>
  <c r="U8" i="1"/>
  <c r="T8" i="1"/>
  <c r="V8" i="1"/>
  <c r="U7" i="1"/>
  <c r="T7" i="1"/>
  <c r="V7" i="1"/>
  <c r="T15" i="1"/>
  <c r="U15" i="1"/>
  <c r="V15" i="1"/>
  <c r="W14" i="1"/>
  <c r="L7" i="1"/>
  <c r="AD7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3" i="1"/>
  <c r="W8" i="1"/>
  <c r="W16" i="1"/>
  <c r="W9" i="1"/>
  <c r="W20" i="1"/>
  <c r="W7" i="1"/>
  <c r="W12" i="1"/>
  <c r="W22" i="1"/>
  <c r="W21" i="1"/>
  <c r="W19" i="1"/>
  <c r="W17" i="1"/>
  <c r="W10" i="1"/>
  <c r="W13" i="1"/>
  <c r="W15" i="1"/>
  <c r="Z7" i="1"/>
  <c r="AE7" i="1"/>
  <c r="AA7" i="1"/>
  <c r="AC7" i="1"/>
  <c r="Y7" i="1"/>
  <c r="Z8" i="1"/>
  <c r="Y8" i="1"/>
  <c r="Z9" i="1"/>
  <c r="Y9" i="1"/>
  <c r="Z10" i="1"/>
  <c r="Y10" i="1"/>
  <c r="Z11" i="1"/>
  <c r="Y11" i="1"/>
  <c r="Z12" i="1"/>
  <c r="Y12" i="1"/>
  <c r="Z13" i="1"/>
  <c r="Y13" i="1"/>
  <c r="Z14" i="1"/>
  <c r="Y14" i="1"/>
  <c r="Z16" i="1"/>
  <c r="Y16" i="1"/>
  <c r="Z19" i="1"/>
  <c r="Y19" i="1"/>
  <c r="AA8" i="1"/>
  <c r="AC8" i="1"/>
  <c r="AE8" i="1"/>
  <c r="AA9" i="1"/>
  <c r="AC9" i="1"/>
  <c r="AE9" i="1"/>
  <c r="AA10" i="1"/>
  <c r="AC10" i="1"/>
  <c r="AE10" i="1"/>
  <c r="AE11" i="1"/>
  <c r="AA12" i="1"/>
  <c r="AC12" i="1"/>
  <c r="AE12" i="1"/>
  <c r="AA13" i="1"/>
  <c r="AC13" i="1"/>
  <c r="AE13" i="1"/>
  <c r="AA14" i="1"/>
  <c r="AC14" i="1"/>
  <c r="AE14" i="1"/>
  <c r="AA16" i="1"/>
  <c r="AC16" i="1"/>
  <c r="AE16" i="1"/>
  <c r="AA19" i="1"/>
  <c r="AC19" i="1"/>
  <c r="AE19" i="1"/>
  <c r="Z22" i="1"/>
  <c r="AE22" i="1"/>
  <c r="AA22" i="1"/>
  <c r="AC22" i="1"/>
  <c r="Z21" i="1"/>
  <c r="AE21" i="1"/>
  <c r="AA21" i="1"/>
  <c r="AC21" i="1"/>
  <c r="Z20" i="1"/>
  <c r="AE20" i="1"/>
  <c r="AA20" i="1"/>
  <c r="AC20" i="1"/>
  <c r="Z18" i="1"/>
  <c r="AE18" i="1"/>
  <c r="AA18" i="1"/>
  <c r="AC18" i="1"/>
  <c r="Z17" i="1"/>
  <c r="AE17" i="1"/>
  <c r="AA17" i="1"/>
  <c r="AC17" i="1"/>
  <c r="Z15" i="1"/>
  <c r="AE15" i="1"/>
  <c r="AA15" i="1"/>
  <c r="AC15" i="1"/>
  <c r="Y22" i="1"/>
  <c r="Y21" i="1"/>
  <c r="Y20" i="1"/>
  <c r="Y18" i="1"/>
  <c r="Y17" i="1"/>
  <c r="Y15" i="1"/>
</calcChain>
</file>

<file path=xl/sharedStrings.xml><?xml version="1.0" encoding="utf-8"?>
<sst xmlns="http://schemas.openxmlformats.org/spreadsheetml/2006/main" count="212" uniqueCount="114">
  <si>
    <t>china</t>
  </si>
  <si>
    <t>10 yuan</t>
  </si>
  <si>
    <t>pandas</t>
  </si>
  <si>
    <t>unicorn</t>
  </si>
  <si>
    <t>canada</t>
  </si>
  <si>
    <t>5 dollars</t>
  </si>
  <si>
    <t>e=mc2</t>
  </si>
  <si>
    <t>mm3</t>
  </si>
  <si>
    <t>weight</t>
  </si>
  <si>
    <t>grams</t>
  </si>
  <si>
    <t>mm</t>
  </si>
  <si>
    <t>lip</t>
  </si>
  <si>
    <t>mm2</t>
  </si>
  <si>
    <t>area</t>
  </si>
  <si>
    <t>volume</t>
  </si>
  <si>
    <t>error</t>
  </si>
  <si>
    <t>claimed</t>
  </si>
  <si>
    <t>grams per troy ounce</t>
  </si>
  <si>
    <t>troy oz</t>
  </si>
  <si>
    <t>copper</t>
  </si>
  <si>
    <t>dollars</t>
  </si>
  <si>
    <t>grams per pound</t>
  </si>
  <si>
    <t>silver</t>
  </si>
  <si>
    <t>specific</t>
  </si>
  <si>
    <t>gravity</t>
  </si>
  <si>
    <t>water</t>
  </si>
  <si>
    <t>gold</t>
  </si>
  <si>
    <t>Metal</t>
  </si>
  <si>
    <t>outer</t>
  </si>
  <si>
    <t>grams per ounce</t>
  </si>
  <si>
    <t>ounces</t>
  </si>
  <si>
    <t>$/LB</t>
  </si>
  <si>
    <t>$/oz</t>
  </si>
  <si>
    <t>melt</t>
  </si>
  <si>
    <t>private</t>
  </si>
  <si>
    <t>n/a</t>
  </si>
  <si>
    <t>dry</t>
  </si>
  <si>
    <t>depth</t>
  </si>
  <si>
    <t>width</t>
  </si>
  <si>
    <t>sealand</t>
  </si>
  <si>
    <t>half dollar</t>
  </si>
  <si>
    <t>orca</t>
  </si>
  <si>
    <t>dollar</t>
  </si>
  <si>
    <t>usa</t>
  </si>
  <si>
    <t>is also the specific gravity (dry weight / water weight)</t>
  </si>
  <si>
    <t>peace</t>
  </si>
  <si>
    <t>st liberty</t>
  </si>
  <si>
    <t>mintage</t>
  </si>
  <si>
    <t>australia</t>
  </si>
  <si>
    <t>100 dollars</t>
  </si>
  <si>
    <t>kangaroo</t>
  </si>
  <si>
    <t>tin</t>
  </si>
  <si>
    <t>manganese</t>
  </si>
  <si>
    <t>1 dollar</t>
  </si>
  <si>
    <t>morgan</t>
  </si>
  <si>
    <t>kookaburra</t>
  </si>
  <si>
    <t>ten dollars</t>
  </si>
  <si>
    <t>heart within</t>
  </si>
  <si>
    <t>15 dollars</t>
  </si>
  <si>
    <t>calc</t>
  </si>
  <si>
    <t>thick</t>
  </si>
  <si>
    <t>expect</t>
  </si>
  <si>
    <t>pct</t>
  </si>
  <si>
    <t>Fineness</t>
  </si>
  <si>
    <t>nickel</t>
  </si>
  <si>
    <t>cupronickel</t>
  </si>
  <si>
    <t>copper85m</t>
  </si>
  <si>
    <t>S</t>
  </si>
  <si>
    <t>P</t>
  </si>
  <si>
    <t>fake</t>
  </si>
  <si>
    <t>25 dollars</t>
  </si>
  <si>
    <t>memorium</t>
  </si>
  <si>
    <t>SerNo</t>
  </si>
  <si>
    <t>rim</t>
  </si>
  <si>
    <t>lead</t>
  </si>
  <si>
    <t>tungsten</t>
  </si>
  <si>
    <t>wolf</t>
  </si>
  <si>
    <t>20 dollars</t>
  </si>
  <si>
    <t>1/2c water</t>
  </si>
  <si>
    <t>10cc's water</t>
  </si>
  <si>
    <t>mint</t>
  </si>
  <si>
    <t>theme</t>
  </si>
  <si>
    <t>fiat</t>
  </si>
  <si>
    <t>year</t>
  </si>
  <si>
    <t>issuer</t>
  </si>
  <si>
    <t>composition</t>
  </si>
  <si>
    <t>value</t>
  </si>
  <si>
    <t>platinum</t>
  </si>
  <si>
    <t>titanium</t>
  </si>
  <si>
    <t>Mn</t>
  </si>
  <si>
    <t>Ti</t>
  </si>
  <si>
    <t>iron</t>
  </si>
  <si>
    <t>Fe</t>
  </si>
  <si>
    <t>Cu</t>
  </si>
  <si>
    <t>zinc</t>
  </si>
  <si>
    <t>Zn</t>
  </si>
  <si>
    <t>Sn</t>
  </si>
  <si>
    <t>Ni</t>
  </si>
  <si>
    <t>Au</t>
  </si>
  <si>
    <t>Ag</t>
  </si>
  <si>
    <t>Pb</t>
  </si>
  <si>
    <t>W</t>
  </si>
  <si>
    <t>Symbol</t>
  </si>
  <si>
    <t>Pt</t>
  </si>
  <si>
    <t>silver90c</t>
  </si>
  <si>
    <t>silver925c</t>
  </si>
  <si>
    <t>gold22Kc</t>
  </si>
  <si>
    <t>silver22Kc</t>
  </si>
  <si>
    <t>Alloy</t>
  </si>
  <si>
    <t>Base</t>
  </si>
  <si>
    <t>Weight (solid, grams/cm3)</t>
  </si>
  <si>
    <t>japan</t>
  </si>
  <si>
    <t>1 yen</t>
  </si>
  <si>
    <t>dragon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</si>
</sst>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22222"/>
      <name val="Arial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B0B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left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9" fontId="1" fillId="0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9" fontId="0" fillId="2" borderId="0" xfId="0" applyNumberFormat="1" applyFill="1" applyAlignment="1">
      <alignment horizontal="left"/>
    </xf>
    <xf numFmtId="9" fontId="1" fillId="2" borderId="0" xfId="0" applyNumberFormat="1" applyFont="1" applyFill="1" applyAlignment="1">
      <alignment horizontal="center"/>
    </xf>
    <xf numFmtId="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left"/>
    </xf>
    <xf numFmtId="165" fontId="0" fillId="0" borderId="0" xfId="0" applyNumberFormat="1" applyFill="1" applyAlignment="1">
      <alignment horizontal="left"/>
    </xf>
    <xf numFmtId="164" fontId="0" fillId="0" borderId="0" xfId="0" applyNumberFormat="1" applyFill="1" applyAlignment="1">
      <alignment horizontal="left"/>
    </xf>
    <xf numFmtId="165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2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9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6" borderId="0" xfId="0" applyNumberFormat="1" applyFill="1" applyAlignment="1">
      <alignment horizontal="center"/>
    </xf>
    <xf numFmtId="0" fontId="0" fillId="5" borderId="0" xfId="0" applyFill="1"/>
    <xf numFmtId="0" fontId="0" fillId="6" borderId="0" xfId="0" applyFill="1" applyAlignment="1">
      <alignment horizontal="left"/>
    </xf>
    <xf numFmtId="0" fontId="0" fillId="0" borderId="0" xfId="0" applyFill="1"/>
    <xf numFmtId="0" fontId="0" fillId="0" borderId="0" xfId="0" applyFont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FFB0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42"/>
  <sheetViews>
    <sheetView tabSelected="1" showRuler="0" workbookViewId="0">
      <selection activeCell="Q24" sqref="O24:Q24"/>
    </sheetView>
  </sheetViews>
  <sheetFormatPr baseColWidth="10" defaultRowHeight="16" x14ac:dyDescent="0.2"/>
  <cols>
    <col min="1" max="1" width="3.33203125" style="36" customWidth="1"/>
    <col min="2" max="2" width="10.83203125" style="7" customWidth="1"/>
    <col min="3" max="3" width="7.83203125" style="7" customWidth="1"/>
    <col min="4" max="4" width="12.83203125" style="7" customWidth="1"/>
    <col min="5" max="6" width="11.83203125" style="7" customWidth="1"/>
    <col min="7" max="7" width="4.83203125" style="7" customWidth="1"/>
    <col min="8" max="8" width="10.83203125" style="21" customWidth="1"/>
    <col min="9" max="9" width="6.83203125" style="21" customWidth="1"/>
    <col min="10" max="11" width="7.83203125" style="7" customWidth="1"/>
    <col min="12" max="12" width="7.83203125" style="15" customWidth="1"/>
    <col min="13" max="13" width="1.83203125" style="24" customWidth="1"/>
    <col min="14" max="14" width="8.83203125" style="8" customWidth="1"/>
    <col min="15" max="15" width="7.83203125" style="8" customWidth="1"/>
    <col min="16" max="16" width="6.83203125" style="8" customWidth="1"/>
    <col min="17" max="17" width="7.83203125" style="7" customWidth="1"/>
    <col min="18" max="18" width="7.83203125" style="8" customWidth="1"/>
    <col min="19" max="19" width="1.83203125" style="27" customWidth="1"/>
    <col min="20" max="20" width="6.83203125" style="7" customWidth="1"/>
    <col min="21" max="22" width="7.83203125" style="9" customWidth="1"/>
    <col min="23" max="23" width="7.83203125" style="8" customWidth="1"/>
    <col min="24" max="24" width="1.83203125" style="29" customWidth="1"/>
    <col min="25" max="27" width="7.83203125" style="8" customWidth="1"/>
    <col min="28" max="28" width="1.83203125" style="31" customWidth="1"/>
    <col min="29" max="31" width="7.83203125" style="10" customWidth="1"/>
    <col min="32" max="32" width="1.83203125" style="34" customWidth="1"/>
    <col min="33" max="33" width="8.83203125" style="11" customWidth="1"/>
    <col min="34" max="35" width="8.83203125" style="7" customWidth="1"/>
    <col min="36" max="36" width="1.83203125" style="7" customWidth="1"/>
    <col min="37" max="16384" width="10.83203125" style="7"/>
  </cols>
  <sheetData>
    <row r="2" spans="1:35" s="35" customFormat="1" x14ac:dyDescent="0.2">
      <c r="B2" s="82" t="s">
        <v>78</v>
      </c>
      <c r="C2" s="84"/>
      <c r="H2" s="37"/>
      <c r="I2" s="37"/>
      <c r="L2" s="38"/>
      <c r="M2" s="24"/>
      <c r="N2" s="8"/>
      <c r="O2" s="8"/>
      <c r="P2" s="8"/>
      <c r="Q2" s="7"/>
      <c r="R2" s="8"/>
      <c r="S2" s="27"/>
      <c r="T2" s="7"/>
      <c r="U2" s="9"/>
      <c r="V2" s="9"/>
      <c r="W2" s="8"/>
      <c r="X2" s="29"/>
      <c r="Y2" s="8"/>
      <c r="Z2" s="8"/>
      <c r="AA2" s="8"/>
      <c r="AB2" s="31"/>
      <c r="AC2" s="10"/>
      <c r="AD2" s="10"/>
      <c r="AE2" s="10"/>
      <c r="AF2" s="34"/>
      <c r="AG2" s="39"/>
    </row>
    <row r="3" spans="1:35" s="2" customFormat="1" x14ac:dyDescent="0.2">
      <c r="A3" s="35"/>
      <c r="B3" s="83" t="s">
        <v>79</v>
      </c>
      <c r="C3" s="35"/>
      <c r="D3" s="35"/>
      <c r="H3" s="19"/>
      <c r="I3" s="19"/>
      <c r="J3" s="3" t="s">
        <v>16</v>
      </c>
      <c r="K3" s="3" t="s">
        <v>16</v>
      </c>
      <c r="L3" s="3" t="s">
        <v>16</v>
      </c>
      <c r="M3" s="23"/>
      <c r="N3" s="4" t="s">
        <v>36</v>
      </c>
      <c r="O3" s="4" t="s">
        <v>73</v>
      </c>
      <c r="P3" s="4" t="s">
        <v>28</v>
      </c>
      <c r="Q3" s="4" t="s">
        <v>11</v>
      </c>
      <c r="R3" s="4" t="s">
        <v>25</v>
      </c>
      <c r="S3" s="25"/>
      <c r="T3" s="5" t="s">
        <v>59</v>
      </c>
      <c r="U3" s="5" t="s">
        <v>59</v>
      </c>
      <c r="V3" s="5" t="s">
        <v>59</v>
      </c>
      <c r="W3" s="5" t="s">
        <v>59</v>
      </c>
      <c r="X3" s="28"/>
      <c r="Y3" s="4" t="s">
        <v>61</v>
      </c>
      <c r="Z3" s="4" t="s">
        <v>61</v>
      </c>
      <c r="AA3" s="4" t="s">
        <v>61</v>
      </c>
      <c r="AB3" s="28"/>
      <c r="AC3" s="6" t="s">
        <v>14</v>
      </c>
      <c r="AD3" s="22" t="s">
        <v>8</v>
      </c>
      <c r="AE3" s="22" t="s">
        <v>24</v>
      </c>
      <c r="AF3" s="32"/>
      <c r="AG3" s="13" t="s">
        <v>33</v>
      </c>
      <c r="AH3" s="13" t="s">
        <v>33</v>
      </c>
      <c r="AI3" s="13" t="s">
        <v>33</v>
      </c>
    </row>
    <row r="4" spans="1:35" x14ac:dyDescent="0.2">
      <c r="B4" s="3"/>
      <c r="C4" s="3"/>
      <c r="D4" s="3"/>
      <c r="E4" s="3" t="s">
        <v>82</v>
      </c>
      <c r="F4" s="3"/>
      <c r="G4" s="3"/>
      <c r="H4" s="20"/>
      <c r="I4" s="20"/>
      <c r="J4" s="3" t="s">
        <v>8</v>
      </c>
      <c r="K4" s="3" t="s">
        <v>8</v>
      </c>
      <c r="L4" s="17" t="s">
        <v>8</v>
      </c>
      <c r="M4" s="23"/>
      <c r="N4" s="4" t="s">
        <v>8</v>
      </c>
      <c r="O4" s="4" t="s">
        <v>38</v>
      </c>
      <c r="P4" s="4" t="s">
        <v>60</v>
      </c>
      <c r="Q4" s="3" t="s">
        <v>37</v>
      </c>
      <c r="R4" s="4" t="s">
        <v>8</v>
      </c>
      <c r="S4" s="26"/>
      <c r="T4" s="3" t="s">
        <v>60</v>
      </c>
      <c r="U4" s="5" t="s">
        <v>13</v>
      </c>
      <c r="V4" s="5" t="s">
        <v>14</v>
      </c>
      <c r="W4" s="4" t="s">
        <v>23</v>
      </c>
      <c r="X4" s="28"/>
      <c r="Y4" s="4" t="s">
        <v>25</v>
      </c>
      <c r="Z4" s="4" t="s">
        <v>23</v>
      </c>
      <c r="AA4" s="4" t="s">
        <v>8</v>
      </c>
      <c r="AB4" s="30"/>
      <c r="AC4" s="6" t="s">
        <v>15</v>
      </c>
      <c r="AD4" s="22" t="s">
        <v>15</v>
      </c>
      <c r="AE4" s="22" t="s">
        <v>15</v>
      </c>
      <c r="AF4" s="33"/>
      <c r="AG4" s="13" t="s">
        <v>19</v>
      </c>
      <c r="AH4" s="3" t="s">
        <v>22</v>
      </c>
      <c r="AI4" s="3" t="s">
        <v>26</v>
      </c>
    </row>
    <row r="5" spans="1:35" x14ac:dyDescent="0.2">
      <c r="B5" s="3" t="s">
        <v>84</v>
      </c>
      <c r="C5" s="3" t="s">
        <v>83</v>
      </c>
      <c r="D5" s="3" t="s">
        <v>85</v>
      </c>
      <c r="E5" s="3" t="s">
        <v>86</v>
      </c>
      <c r="F5" s="3" t="s">
        <v>81</v>
      </c>
      <c r="G5" s="3" t="s">
        <v>80</v>
      </c>
      <c r="H5" s="20" t="s">
        <v>47</v>
      </c>
      <c r="I5" s="20" t="s">
        <v>72</v>
      </c>
      <c r="J5" s="3" t="s">
        <v>18</v>
      </c>
      <c r="K5" s="17" t="s">
        <v>30</v>
      </c>
      <c r="L5" s="17" t="s">
        <v>9</v>
      </c>
      <c r="M5" s="23"/>
      <c r="N5" s="4" t="s">
        <v>9</v>
      </c>
      <c r="O5" s="4" t="s">
        <v>10</v>
      </c>
      <c r="P5" s="4" t="s">
        <v>10</v>
      </c>
      <c r="Q5" s="3" t="s">
        <v>10</v>
      </c>
      <c r="R5" s="4" t="s">
        <v>9</v>
      </c>
      <c r="S5" s="26"/>
      <c r="T5" s="3" t="s">
        <v>10</v>
      </c>
      <c r="U5" s="5" t="s">
        <v>12</v>
      </c>
      <c r="V5" s="5" t="s">
        <v>7</v>
      </c>
      <c r="W5" s="3" t="s">
        <v>24</v>
      </c>
      <c r="X5" s="28"/>
      <c r="Y5" s="4" t="s">
        <v>8</v>
      </c>
      <c r="Z5" s="4" t="s">
        <v>24</v>
      </c>
      <c r="AA5" s="4" t="s">
        <v>9</v>
      </c>
      <c r="AB5" s="26"/>
      <c r="AC5" s="6" t="s">
        <v>62</v>
      </c>
      <c r="AD5" s="22" t="s">
        <v>62</v>
      </c>
      <c r="AE5" s="22" t="s">
        <v>62</v>
      </c>
      <c r="AF5" s="33"/>
      <c r="AG5" s="13" t="s">
        <v>20</v>
      </c>
      <c r="AH5" s="13" t="s">
        <v>20</v>
      </c>
      <c r="AI5" s="13" t="s">
        <v>20</v>
      </c>
    </row>
    <row r="6" spans="1:35" s="74" customFormat="1" ht="5" customHeight="1" x14ac:dyDescent="0.2">
      <c r="A6" s="41"/>
      <c r="B6" s="67"/>
      <c r="C6" s="67"/>
      <c r="D6" s="67"/>
      <c r="E6" s="67"/>
      <c r="F6" s="67"/>
      <c r="G6" s="67"/>
      <c r="H6" s="68"/>
      <c r="I6" s="68"/>
      <c r="J6" s="67"/>
      <c r="K6" s="69"/>
      <c r="L6" s="69"/>
      <c r="M6" s="69"/>
      <c r="N6" s="70"/>
      <c r="O6" s="70"/>
      <c r="P6" s="70"/>
      <c r="Q6" s="67"/>
      <c r="R6" s="70"/>
      <c r="S6" s="67"/>
      <c r="T6" s="67"/>
      <c r="U6" s="71"/>
      <c r="V6" s="71"/>
      <c r="W6" s="67"/>
      <c r="X6" s="71"/>
      <c r="Y6" s="70"/>
      <c r="Z6" s="70"/>
      <c r="AA6" s="70"/>
      <c r="AB6" s="67"/>
      <c r="AC6" s="72"/>
      <c r="AD6" s="72"/>
      <c r="AE6" s="72"/>
      <c r="AF6" s="72"/>
      <c r="AG6" s="73"/>
      <c r="AH6" s="73"/>
      <c r="AI6" s="73"/>
    </row>
    <row r="7" spans="1:35" x14ac:dyDescent="0.2">
      <c r="B7" s="7" t="s">
        <v>48</v>
      </c>
      <c r="C7" s="7">
        <v>2015</v>
      </c>
      <c r="D7" s="7" t="s">
        <v>26</v>
      </c>
      <c r="E7" s="7" t="s">
        <v>49</v>
      </c>
      <c r="F7" s="7" t="s">
        <v>50</v>
      </c>
      <c r="H7" s="21">
        <v>206743</v>
      </c>
      <c r="J7" s="7">
        <v>1</v>
      </c>
      <c r="L7" s="15">
        <f t="shared" ref="L7:L19" si="0">IF(J7="",IF(K7="","",K7*GramsPerOz),J7*(GramsPerTroyOz))</f>
        <v>31.103476799999999</v>
      </c>
      <c r="N7" s="77">
        <v>31.15</v>
      </c>
      <c r="O7" s="8">
        <v>31.98</v>
      </c>
      <c r="P7" s="8">
        <v>2.5299999999999998</v>
      </c>
      <c r="Q7" s="7">
        <v>0.26</v>
      </c>
      <c r="R7" s="77">
        <v>1.64</v>
      </c>
      <c r="T7" s="7">
        <f t="shared" ref="T7:T37" si="1">IF(Q7="","",P7-2*Q7)</f>
        <v>2.0099999999999998</v>
      </c>
      <c r="U7" s="9">
        <f t="shared" ref="U7:U37" si="2">IF(O7="","",PI()*POWER(O7/2,2))</f>
        <v>803.24272382910374</v>
      </c>
      <c r="V7" s="9">
        <f t="shared" ref="V7:V22" si="3">IF(U7="","",U7*T7)</f>
        <v>1614.5178748964984</v>
      </c>
      <c r="W7" s="8">
        <f t="shared" ref="W7:W37" si="4">IF(R7="","",N7/R7)</f>
        <v>18.993902439024392</v>
      </c>
      <c r="Y7" s="8">
        <f>IF(N7="","",N7/Z7)</f>
        <v>1.61231884057971</v>
      </c>
      <c r="Z7" s="8">
        <f t="shared" ref="Z7:Z41" si="5">IF(D7="","",VLOOKUP(D7,Metals,5,FALSE))</f>
        <v>19.32</v>
      </c>
      <c r="AA7" s="8">
        <f>IF(V7="","",IF(Z7="","",V7*Z7/1000))</f>
        <v>31.192485343000349</v>
      </c>
      <c r="AC7" s="10">
        <f>IF(AA7="","",IF(N7="","",AA7/N7-1))</f>
        <v>1.3638954414236792E-3</v>
      </c>
      <c r="AD7" s="10">
        <f>IF(OR(N7="",L7=""),"",N7/L7-1)</f>
        <v>1.4957556127614957E-3</v>
      </c>
      <c r="AE7" s="10">
        <f>IF(W7="","",1-(Z7/W7))</f>
        <v>-1.7168539325842502E-2</v>
      </c>
      <c r="AG7" s="11">
        <f t="shared" ref="AG7:AI26" si="6">IF($N7="","",VLOOKUP(AG$4,Metals,7,FALSE)*$N7/GramsPerOz)</f>
        <v>0.17923912688054749</v>
      </c>
      <c r="AH7" s="11">
        <f t="shared" si="6"/>
        <v>18.811180703110949</v>
      </c>
      <c r="AI7" s="11">
        <f t="shared" si="6"/>
        <v>87.90271356593901</v>
      </c>
    </row>
    <row r="8" spans="1:35" x14ac:dyDescent="0.2">
      <c r="B8" s="7" t="s">
        <v>48</v>
      </c>
      <c r="C8" s="7">
        <v>2017</v>
      </c>
      <c r="D8" s="7" t="s">
        <v>26</v>
      </c>
      <c r="E8" s="7" t="s">
        <v>58</v>
      </c>
      <c r="F8" s="7" t="s">
        <v>50</v>
      </c>
      <c r="H8" s="21">
        <v>200000</v>
      </c>
      <c r="J8" s="7">
        <v>0.1</v>
      </c>
      <c r="L8" s="15">
        <f t="shared" si="0"/>
        <v>3.1103476800000003</v>
      </c>
      <c r="N8" s="77">
        <v>3.11</v>
      </c>
      <c r="O8" s="8">
        <v>16</v>
      </c>
      <c r="P8" s="8">
        <v>1.1599999999999999</v>
      </c>
      <c r="Q8" s="7">
        <v>0.18</v>
      </c>
      <c r="R8" s="81">
        <v>0.16</v>
      </c>
      <c r="T8" s="7">
        <f t="shared" si="1"/>
        <v>0.79999999999999993</v>
      </c>
      <c r="U8" s="9">
        <f t="shared" si="2"/>
        <v>201.06192982974676</v>
      </c>
      <c r="V8" s="9">
        <f t="shared" si="3"/>
        <v>160.84954386379741</v>
      </c>
      <c r="W8" s="8">
        <f t="shared" si="4"/>
        <v>19.4375</v>
      </c>
      <c r="Y8" s="8">
        <f t="shared" ref="Y8:Y39" si="7">IF(N8="","",N8/Z8)</f>
        <v>0.16097308488612835</v>
      </c>
      <c r="Z8" s="8">
        <f t="shared" si="5"/>
        <v>19.32</v>
      </c>
      <c r="AA8" s="8">
        <f t="shared" ref="AA8:AA41" si="8">IF(V8="","",IF(Z8="","",V8*Z8/1000))</f>
        <v>3.1076131874485657</v>
      </c>
      <c r="AC8" s="10">
        <f t="shared" ref="AC8:AC41" si="9">IF(AA8="","",IF(N8="","",AA8/N8-1))</f>
        <v>-7.6746384290482528E-4</v>
      </c>
      <c r="AD8" s="10">
        <f t="shared" ref="AD8:AD41" si="10">IF(OR(N8="",L8=""),"",N8/L8-1)</f>
        <v>-1.1178171566994521E-4</v>
      </c>
      <c r="AE8" s="10">
        <f t="shared" ref="AE8:AE41" si="11">IF(W8="","",1-(Z8/W8))</f>
        <v>6.0450160771704509E-3</v>
      </c>
      <c r="AG8" s="11">
        <f t="shared" si="6"/>
        <v>1.7895142362712765E-2</v>
      </c>
      <c r="AH8" s="11">
        <f t="shared" si="6"/>
        <v>1.8780986191548972</v>
      </c>
      <c r="AI8" s="11">
        <f t="shared" si="6"/>
        <v>8.7761617717518554</v>
      </c>
    </row>
    <row r="9" spans="1:35" s="42" customFormat="1" x14ac:dyDescent="0.2">
      <c r="A9" s="41"/>
      <c r="B9" s="42" t="s">
        <v>48</v>
      </c>
      <c r="C9" s="42">
        <v>2017</v>
      </c>
      <c r="D9" s="42" t="s">
        <v>22</v>
      </c>
      <c r="E9" s="42" t="s">
        <v>53</v>
      </c>
      <c r="F9" s="42" t="s">
        <v>55</v>
      </c>
      <c r="H9" s="43">
        <v>500000</v>
      </c>
      <c r="I9" s="43"/>
      <c r="J9" s="42">
        <v>1</v>
      </c>
      <c r="L9" s="44">
        <f t="shared" si="0"/>
        <v>31.103476799999999</v>
      </c>
      <c r="M9" s="45"/>
      <c r="N9" s="78">
        <v>31.42</v>
      </c>
      <c r="O9" s="46">
        <v>40.53</v>
      </c>
      <c r="P9" s="46">
        <v>3.1</v>
      </c>
      <c r="Q9" s="42">
        <v>0.39</v>
      </c>
      <c r="R9" s="78">
        <v>2.99</v>
      </c>
      <c r="S9" s="47"/>
      <c r="T9" s="42">
        <f t="shared" si="1"/>
        <v>2.3200000000000003</v>
      </c>
      <c r="U9" s="48">
        <f t="shared" si="2"/>
        <v>1290.1585619080674</v>
      </c>
      <c r="V9" s="48">
        <f t="shared" si="3"/>
        <v>2993.167863626717</v>
      </c>
      <c r="W9" s="46">
        <f t="shared" si="4"/>
        <v>10.508361204013378</v>
      </c>
      <c r="X9" s="49"/>
      <c r="Y9" s="46">
        <f t="shared" si="7"/>
        <v>2.9952335557673977</v>
      </c>
      <c r="Z9" s="46">
        <f t="shared" si="5"/>
        <v>10.49</v>
      </c>
      <c r="AA9" s="46">
        <f t="shared" si="8"/>
        <v>31.398330889444264</v>
      </c>
      <c r="AB9" s="50"/>
      <c r="AC9" s="51">
        <f t="shared" si="9"/>
        <v>-6.8965978853396948E-4</v>
      </c>
      <c r="AD9" s="51">
        <f t="shared" si="10"/>
        <v>1.0176457186291232E-2</v>
      </c>
      <c r="AE9" s="51">
        <f t="shared" si="11"/>
        <v>1.7472947167408437E-3</v>
      </c>
      <c r="AF9" s="52"/>
      <c r="AG9" s="53">
        <f t="shared" si="6"/>
        <v>0.18079272444901454</v>
      </c>
      <c r="AH9" s="53">
        <f t="shared" si="6"/>
        <v>18.97423106554562</v>
      </c>
      <c r="AI9" s="53">
        <f t="shared" si="6"/>
        <v>88.664631147409438</v>
      </c>
    </row>
    <row r="10" spans="1:35" x14ac:dyDescent="0.2">
      <c r="B10" s="7" t="s">
        <v>4</v>
      </c>
      <c r="C10" s="7">
        <v>2015</v>
      </c>
      <c r="D10" s="7" t="s">
        <v>22</v>
      </c>
      <c r="E10" s="7" t="s">
        <v>5</v>
      </c>
      <c r="F10" s="7" t="s">
        <v>6</v>
      </c>
      <c r="H10" s="21">
        <v>50000</v>
      </c>
      <c r="J10" s="7">
        <v>1</v>
      </c>
      <c r="L10" s="15">
        <f t="shared" si="0"/>
        <v>31.103476799999999</v>
      </c>
      <c r="N10" s="77">
        <v>31.17</v>
      </c>
      <c r="O10" s="8">
        <v>37.950000000000003</v>
      </c>
      <c r="P10" s="8">
        <v>3.17</v>
      </c>
      <c r="Q10" s="7">
        <v>0.28000000000000003</v>
      </c>
      <c r="R10" s="77">
        <v>2.98</v>
      </c>
      <c r="T10" s="7">
        <f t="shared" si="1"/>
        <v>2.61</v>
      </c>
      <c r="U10" s="9">
        <f t="shared" si="2"/>
        <v>1131.1323984204137</v>
      </c>
      <c r="V10" s="9">
        <f t="shared" si="3"/>
        <v>2952.2555598772797</v>
      </c>
      <c r="W10" s="8">
        <f t="shared" si="4"/>
        <v>10.459731543624162</v>
      </c>
      <c r="Y10" s="8">
        <f t="shared" si="7"/>
        <v>2.9714013346043853</v>
      </c>
      <c r="Z10" s="8">
        <f t="shared" si="5"/>
        <v>10.49</v>
      </c>
      <c r="AA10" s="8">
        <f t="shared" si="8"/>
        <v>30.969160823112663</v>
      </c>
      <c r="AC10" s="10">
        <f t="shared" si="9"/>
        <v>-6.4433486328950851E-3</v>
      </c>
      <c r="AD10" s="10">
        <f t="shared" si="10"/>
        <v>2.1387705441342497E-3</v>
      </c>
      <c r="AE10" s="10">
        <f t="shared" si="11"/>
        <v>-2.8938081488609768E-3</v>
      </c>
      <c r="AG10" s="11">
        <f t="shared" si="6"/>
        <v>0.17935420818191544</v>
      </c>
      <c r="AH10" s="11">
        <f t="shared" si="6"/>
        <v>18.823258507735737</v>
      </c>
      <c r="AI10" s="11">
        <f t="shared" si="6"/>
        <v>87.959151905307195</v>
      </c>
    </row>
    <row r="11" spans="1:35" x14ac:dyDescent="0.2">
      <c r="B11" s="7" t="s">
        <v>4</v>
      </c>
      <c r="C11" s="7">
        <v>2015</v>
      </c>
      <c r="D11" s="7" t="s">
        <v>26</v>
      </c>
      <c r="E11" s="7" t="s">
        <v>77</v>
      </c>
      <c r="F11" s="7" t="s">
        <v>76</v>
      </c>
      <c r="H11" s="21">
        <v>10000</v>
      </c>
      <c r="J11" s="7">
        <v>0.1</v>
      </c>
      <c r="L11" s="15">
        <f t="shared" si="0"/>
        <v>3.1103476800000003</v>
      </c>
      <c r="N11" s="77">
        <v>3.14</v>
      </c>
      <c r="R11" s="81">
        <v>0.16</v>
      </c>
      <c r="T11" s="7" t="str">
        <f t="shared" si="1"/>
        <v/>
      </c>
      <c r="U11" s="9" t="str">
        <f t="shared" si="2"/>
        <v/>
      </c>
      <c r="V11" s="9" t="str">
        <f t="shared" ref="V11" si="12">IF(U11="","",U11*T11)</f>
        <v/>
      </c>
      <c r="W11" s="8">
        <f t="shared" si="4"/>
        <v>19.625</v>
      </c>
      <c r="Y11" s="8">
        <f t="shared" si="7"/>
        <v>0.16252587991718426</v>
      </c>
      <c r="Z11" s="8">
        <f t="shared" si="5"/>
        <v>19.32</v>
      </c>
      <c r="AA11" s="8" t="str">
        <f t="shared" si="8"/>
        <v/>
      </c>
      <c r="AC11" s="10" t="str">
        <f t="shared" si="9"/>
        <v/>
      </c>
      <c r="AD11" s="10">
        <f t="shared" si="10"/>
        <v>9.5334422549184783E-3</v>
      </c>
      <c r="AE11" s="10">
        <f t="shared" si="11"/>
        <v>1.5541401273885369E-2</v>
      </c>
      <c r="AG11" s="11">
        <f t="shared" si="6"/>
        <v>1.8067764314764659E-2</v>
      </c>
      <c r="AH11" s="11">
        <f t="shared" si="6"/>
        <v>1.8962153260920829</v>
      </c>
      <c r="AI11" s="11">
        <f t="shared" si="6"/>
        <v>8.860819280804126</v>
      </c>
    </row>
    <row r="12" spans="1:35" s="42" customFormat="1" x14ac:dyDescent="0.2">
      <c r="A12" s="41"/>
      <c r="B12" s="42" t="s">
        <v>4</v>
      </c>
      <c r="C12" s="42">
        <v>2015</v>
      </c>
      <c r="D12" s="42" t="s">
        <v>26</v>
      </c>
      <c r="E12" s="42" t="s">
        <v>5</v>
      </c>
      <c r="F12" s="42" t="s">
        <v>6</v>
      </c>
      <c r="H12" s="43">
        <v>10000</v>
      </c>
      <c r="I12" s="43"/>
      <c r="J12" s="42">
        <v>0.1</v>
      </c>
      <c r="L12" s="44">
        <f t="shared" si="0"/>
        <v>3.1103476800000003</v>
      </c>
      <c r="M12" s="45"/>
      <c r="N12" s="78">
        <v>3.16</v>
      </c>
      <c r="O12" s="46">
        <v>16.03</v>
      </c>
      <c r="P12" s="46">
        <v>1.06</v>
      </c>
      <c r="Q12" s="42">
        <v>0.13</v>
      </c>
      <c r="R12" s="80">
        <v>0.16</v>
      </c>
      <c r="S12" s="47"/>
      <c r="T12" s="42">
        <f t="shared" si="1"/>
        <v>0.8</v>
      </c>
      <c r="U12" s="48">
        <f t="shared" si="2"/>
        <v>201.81661892495541</v>
      </c>
      <c r="V12" s="48">
        <f t="shared" si="3"/>
        <v>161.45329513996433</v>
      </c>
      <c r="W12" s="46">
        <f t="shared" si="4"/>
        <v>19.75</v>
      </c>
      <c r="X12" s="49"/>
      <c r="Y12" s="46">
        <f t="shared" si="7"/>
        <v>0.16356107660455488</v>
      </c>
      <c r="Z12" s="46">
        <f t="shared" si="5"/>
        <v>19.32</v>
      </c>
      <c r="AA12" s="46">
        <f t="shared" si="8"/>
        <v>3.1192776621041109</v>
      </c>
      <c r="AB12" s="50"/>
      <c r="AC12" s="51">
        <f t="shared" si="9"/>
        <v>-1.2886815789838302E-2</v>
      </c>
      <c r="AD12" s="51">
        <f t="shared" si="10"/>
        <v>1.5963591568644242E-2</v>
      </c>
      <c r="AE12" s="51">
        <f t="shared" si="11"/>
        <v>2.177215189873416E-2</v>
      </c>
      <c r="AF12" s="52"/>
      <c r="AG12" s="53">
        <f t="shared" si="6"/>
        <v>1.8182845616132589E-2</v>
      </c>
      <c r="AH12" s="53">
        <f t="shared" si="6"/>
        <v>1.9082931307168731</v>
      </c>
      <c r="AI12" s="53">
        <f t="shared" si="6"/>
        <v>8.9172576201723039</v>
      </c>
    </row>
    <row r="13" spans="1:35" x14ac:dyDescent="0.2">
      <c r="B13" s="7" t="s">
        <v>0</v>
      </c>
      <c r="C13" s="7">
        <v>1997</v>
      </c>
      <c r="D13" s="7" t="s">
        <v>22</v>
      </c>
      <c r="E13" s="7" t="s">
        <v>1</v>
      </c>
      <c r="F13" s="7" t="s">
        <v>3</v>
      </c>
      <c r="H13" s="21">
        <v>8000</v>
      </c>
      <c r="J13" s="7">
        <v>1</v>
      </c>
      <c r="L13" s="15">
        <f t="shared" si="0"/>
        <v>31.103476799999999</v>
      </c>
      <c r="N13" s="77">
        <v>31.48</v>
      </c>
      <c r="O13" s="8">
        <v>39.85</v>
      </c>
      <c r="P13" s="8">
        <v>3.33</v>
      </c>
      <c r="Q13" s="7">
        <v>0.46</v>
      </c>
      <c r="R13" s="77">
        <v>2.98</v>
      </c>
      <c r="T13" s="7">
        <f t="shared" si="1"/>
        <v>2.41</v>
      </c>
      <c r="U13" s="9">
        <f t="shared" si="2"/>
        <v>1247.2299549338243</v>
      </c>
      <c r="V13" s="9">
        <f t="shared" si="3"/>
        <v>3005.8241913905167</v>
      </c>
      <c r="W13" s="8">
        <f t="shared" si="4"/>
        <v>10.563758389261745</v>
      </c>
      <c r="Y13" s="8">
        <f t="shared" si="7"/>
        <v>3.0009532888465205</v>
      </c>
      <c r="Z13" s="8">
        <f t="shared" si="5"/>
        <v>10.49</v>
      </c>
      <c r="AA13" s="8">
        <f t="shared" si="8"/>
        <v>31.531095767686523</v>
      </c>
      <c r="AC13" s="10">
        <f t="shared" si="9"/>
        <v>1.623118414438407E-3</v>
      </c>
      <c r="AD13" s="10">
        <f t="shared" si="10"/>
        <v>1.2105501980408828E-2</v>
      </c>
      <c r="AE13" s="10">
        <f t="shared" si="11"/>
        <v>6.9822109275730071E-3</v>
      </c>
      <c r="AG13" s="11">
        <f t="shared" si="6"/>
        <v>0.18113796835311832</v>
      </c>
      <c r="AH13" s="11">
        <f t="shared" si="6"/>
        <v>19.010464479419991</v>
      </c>
      <c r="AI13" s="11">
        <f t="shared" si="6"/>
        <v>88.833946165513964</v>
      </c>
    </row>
    <row r="14" spans="1:35" s="42" customFormat="1" x14ac:dyDescent="0.2">
      <c r="A14" s="41"/>
      <c r="B14" s="42" t="s">
        <v>0</v>
      </c>
      <c r="C14" s="42">
        <v>2013</v>
      </c>
      <c r="D14" s="76" t="s">
        <v>52</v>
      </c>
      <c r="E14" s="42" t="s">
        <v>1</v>
      </c>
      <c r="F14" s="42" t="s">
        <v>2</v>
      </c>
      <c r="G14" s="76" t="s">
        <v>69</v>
      </c>
      <c r="H14" s="43" t="s">
        <v>35</v>
      </c>
      <c r="I14" s="43"/>
      <c r="J14" s="42">
        <v>1</v>
      </c>
      <c r="L14" s="44">
        <f t="shared" si="0"/>
        <v>31.103476799999999</v>
      </c>
      <c r="M14" s="45"/>
      <c r="N14" s="78">
        <v>30.22</v>
      </c>
      <c r="O14" s="46">
        <v>39.94</v>
      </c>
      <c r="P14" s="75">
        <v>3.53</v>
      </c>
      <c r="Q14" s="42">
        <v>0.12</v>
      </c>
      <c r="R14" s="78">
        <v>4.1500000000000004</v>
      </c>
      <c r="S14" s="47"/>
      <c r="T14" s="42">
        <f t="shared" si="1"/>
        <v>3.29</v>
      </c>
      <c r="U14" s="48">
        <f t="shared" si="2"/>
        <v>1252.8699776849976</v>
      </c>
      <c r="V14" s="48">
        <f t="shared" si="3"/>
        <v>4121.942226583642</v>
      </c>
      <c r="W14" s="46">
        <f t="shared" si="4"/>
        <v>7.2819277108433722</v>
      </c>
      <c r="X14" s="49"/>
      <c r="Y14" s="46">
        <f t="shared" si="7"/>
        <v>4.1255972696245733</v>
      </c>
      <c r="Z14" s="46">
        <f t="shared" si="5"/>
        <v>7.3250000000000002</v>
      </c>
      <c r="AA14" s="46">
        <f t="shared" si="8"/>
        <v>30.193226809725179</v>
      </c>
      <c r="AB14" s="50"/>
      <c r="AC14" s="51">
        <f t="shared" si="9"/>
        <v>-8.859427622376348E-4</v>
      </c>
      <c r="AD14" s="51">
        <f t="shared" si="10"/>
        <v>-2.8404438696062462E-2</v>
      </c>
      <c r="AE14" s="51">
        <f t="shared" si="11"/>
        <v>-5.914956982131292E-3</v>
      </c>
      <c r="AF14" s="52"/>
      <c r="AG14" s="53">
        <f t="shared" si="6"/>
        <v>0.17388784636693883</v>
      </c>
      <c r="AH14" s="53">
        <f t="shared" si="6"/>
        <v>18.249562788058196</v>
      </c>
      <c r="AI14" s="53">
        <f t="shared" si="6"/>
        <v>85.278330785318673</v>
      </c>
    </row>
    <row r="15" spans="1:35" s="55" customFormat="1" x14ac:dyDescent="0.2">
      <c r="A15" s="54"/>
      <c r="B15" s="55" t="s">
        <v>34</v>
      </c>
      <c r="C15" s="55">
        <v>1990</v>
      </c>
      <c r="D15" s="55" t="s">
        <v>19</v>
      </c>
      <c r="E15" s="55" t="s">
        <v>35</v>
      </c>
      <c r="F15" s="55" t="s">
        <v>45</v>
      </c>
      <c r="H15" s="56"/>
      <c r="I15" s="56"/>
      <c r="K15" s="55">
        <v>1</v>
      </c>
      <c r="L15" s="57">
        <f t="shared" si="0"/>
        <v>28.349523000000001</v>
      </c>
      <c r="M15" s="58"/>
      <c r="N15" s="79">
        <v>28.39</v>
      </c>
      <c r="O15" s="59">
        <v>39.33</v>
      </c>
      <c r="P15" s="59">
        <v>3.2</v>
      </c>
      <c r="Q15" s="55">
        <v>0.3</v>
      </c>
      <c r="R15" s="79">
        <v>3.18</v>
      </c>
      <c r="S15" s="60"/>
      <c r="T15" s="55">
        <f t="shared" si="1"/>
        <v>2.6</v>
      </c>
      <c r="U15" s="61">
        <f t="shared" si="2"/>
        <v>1214.8922851133632</v>
      </c>
      <c r="V15" s="61">
        <f t="shared" si="3"/>
        <v>3158.7199412947443</v>
      </c>
      <c r="W15" s="59">
        <f t="shared" si="4"/>
        <v>8.9276729559748418</v>
      </c>
      <c r="X15" s="62"/>
      <c r="Y15" s="59">
        <f t="shared" si="7"/>
        <v>3.1791713325867863</v>
      </c>
      <c r="Z15" s="59">
        <f t="shared" si="5"/>
        <v>8.93</v>
      </c>
      <c r="AA15" s="59">
        <f t="shared" si="8"/>
        <v>28.207369075762063</v>
      </c>
      <c r="AB15" s="63"/>
      <c r="AC15" s="64">
        <f t="shared" si="9"/>
        <v>-6.4329314631186296E-3</v>
      </c>
      <c r="AD15" s="64">
        <f t="shared" si="10"/>
        <v>1.4277841641285871E-3</v>
      </c>
      <c r="AE15" s="64">
        <f t="shared" si="11"/>
        <v>-2.6065516026774205E-4</v>
      </c>
      <c r="AF15" s="65"/>
      <c r="AG15" s="66">
        <f t="shared" si="6"/>
        <v>0.16335790729177346</v>
      </c>
      <c r="AH15" s="66">
        <f t="shared" si="6"/>
        <v>17.144443664889881</v>
      </c>
      <c r="AI15" s="66">
        <f t="shared" si="6"/>
        <v>80.114222733130276</v>
      </c>
    </row>
    <row r="16" spans="1:35" x14ac:dyDescent="0.2">
      <c r="B16" s="7" t="s">
        <v>39</v>
      </c>
      <c r="C16" s="7">
        <v>1972</v>
      </c>
      <c r="D16" s="7" t="s">
        <v>22</v>
      </c>
      <c r="E16" s="7" t="s">
        <v>56</v>
      </c>
      <c r="F16" s="7" t="s">
        <v>57</v>
      </c>
      <c r="H16" s="21">
        <v>2000</v>
      </c>
      <c r="L16" s="15">
        <v>25.15</v>
      </c>
      <c r="N16" s="77">
        <v>25.08</v>
      </c>
      <c r="O16" s="8">
        <v>40.26</v>
      </c>
      <c r="P16" s="8">
        <v>2.4500000000000002</v>
      </c>
      <c r="Q16" s="7">
        <v>0.28999999999999998</v>
      </c>
      <c r="R16" s="77">
        <v>2.44</v>
      </c>
      <c r="T16" s="7">
        <f t="shared" si="1"/>
        <v>1.87</v>
      </c>
      <c r="U16" s="9">
        <f t="shared" si="2"/>
        <v>1273.0264361504296</v>
      </c>
      <c r="V16" s="9">
        <f t="shared" si="3"/>
        <v>2380.5594356013034</v>
      </c>
      <c r="W16" s="8">
        <f t="shared" si="4"/>
        <v>10.278688524590164</v>
      </c>
      <c r="Y16" s="8">
        <f t="shared" si="7"/>
        <v>2.3908484270734029</v>
      </c>
      <c r="Z16" s="8">
        <f t="shared" si="5"/>
        <v>10.49</v>
      </c>
      <c r="AA16" s="8">
        <f t="shared" si="8"/>
        <v>24.972068479457672</v>
      </c>
      <c r="AC16" s="10">
        <f t="shared" si="9"/>
        <v>-4.3034896547976542E-3</v>
      </c>
      <c r="AD16" s="10">
        <f t="shared" si="10"/>
        <v>-2.783300198807126E-3</v>
      </c>
      <c r="AE16" s="10">
        <f t="shared" si="11"/>
        <v>-2.0558213716108442E-2</v>
      </c>
      <c r="AG16" s="11">
        <f t="shared" si="6"/>
        <v>0.14431195191538143</v>
      </c>
      <c r="AH16" s="11">
        <f t="shared" si="6"/>
        <v>15.14556699948708</v>
      </c>
      <c r="AI16" s="11">
        <f t="shared" si="6"/>
        <v>70.773677567696637</v>
      </c>
    </row>
    <row r="17" spans="1:35" x14ac:dyDescent="0.2">
      <c r="B17" s="7" t="s">
        <v>39</v>
      </c>
      <c r="C17" s="7">
        <v>1994</v>
      </c>
      <c r="D17" s="7" t="s">
        <v>65</v>
      </c>
      <c r="E17" s="7" t="s">
        <v>40</v>
      </c>
      <c r="F17" s="7" t="s">
        <v>41</v>
      </c>
      <c r="H17" s="21">
        <v>1111</v>
      </c>
      <c r="L17" s="15" t="str">
        <f t="shared" si="0"/>
        <v/>
      </c>
      <c r="N17" s="77">
        <v>26.21</v>
      </c>
      <c r="O17" s="8">
        <v>39.03</v>
      </c>
      <c r="P17" s="8">
        <v>2.89</v>
      </c>
      <c r="Q17" s="7">
        <v>0.21</v>
      </c>
      <c r="R17" s="77">
        <v>3</v>
      </c>
      <c r="T17" s="7">
        <f t="shared" si="1"/>
        <v>2.4700000000000002</v>
      </c>
      <c r="U17" s="9">
        <f t="shared" si="2"/>
        <v>1196.429145088216</v>
      </c>
      <c r="V17" s="9">
        <f t="shared" si="3"/>
        <v>2955.1799883678937</v>
      </c>
      <c r="W17" s="8">
        <f t="shared" si="4"/>
        <v>8.7366666666666664</v>
      </c>
      <c r="Y17" s="8">
        <f t="shared" si="7"/>
        <v>2.9457712840685586</v>
      </c>
      <c r="Z17" s="8">
        <f t="shared" si="5"/>
        <v>8.8975000000000009</v>
      </c>
      <c r="AA17" s="8">
        <f t="shared" si="8"/>
        <v>26.293713946503335</v>
      </c>
      <c r="AC17" s="10">
        <f t="shared" si="9"/>
        <v>3.1939697254228516E-3</v>
      </c>
      <c r="AD17" s="10" t="str">
        <f t="shared" si="10"/>
        <v/>
      </c>
      <c r="AE17" s="10">
        <f t="shared" si="11"/>
        <v>-1.8409004196871637E-2</v>
      </c>
      <c r="AG17" s="11">
        <f t="shared" si="6"/>
        <v>0.15081404544266935</v>
      </c>
      <c r="AH17" s="11">
        <f t="shared" si="6"/>
        <v>15.827962960787735</v>
      </c>
      <c r="AI17" s="11">
        <f t="shared" si="6"/>
        <v>73.962443741998769</v>
      </c>
    </row>
    <row r="18" spans="1:35" x14ac:dyDescent="0.2">
      <c r="B18" s="7" t="s">
        <v>39</v>
      </c>
      <c r="C18" s="7">
        <v>2012</v>
      </c>
      <c r="D18" s="7" t="s">
        <v>105</v>
      </c>
      <c r="E18" s="7" t="s">
        <v>70</v>
      </c>
      <c r="F18" s="7" t="s">
        <v>71</v>
      </c>
      <c r="I18" s="21">
        <v>278</v>
      </c>
      <c r="K18" s="7">
        <v>1</v>
      </c>
      <c r="L18" s="15">
        <f t="shared" si="0"/>
        <v>28.349523000000001</v>
      </c>
      <c r="N18" s="77">
        <v>28.41</v>
      </c>
      <c r="O18" s="8">
        <v>38.75</v>
      </c>
      <c r="P18" s="8">
        <v>2.85</v>
      </c>
      <c r="Q18" s="7">
        <v>0.27</v>
      </c>
      <c r="R18" s="77">
        <v>2.77</v>
      </c>
      <c r="T18" s="7">
        <f t="shared" si="1"/>
        <v>2.31</v>
      </c>
      <c r="U18" s="9">
        <f t="shared" si="2"/>
        <v>1179.324429726481</v>
      </c>
      <c r="V18" s="9">
        <f t="shared" si="3"/>
        <v>2724.239432668171</v>
      </c>
      <c r="W18" s="8">
        <f t="shared" si="4"/>
        <v>10.256317689530686</v>
      </c>
      <c r="Y18" s="8">
        <f t="shared" si="7"/>
        <v>2.7388412224043188</v>
      </c>
      <c r="Z18" s="8">
        <f t="shared" si="5"/>
        <v>10.373000000000001</v>
      </c>
      <c r="AA18" s="8">
        <f t="shared" si="8"/>
        <v>28.258535635066941</v>
      </c>
      <c r="AC18" s="10">
        <f t="shared" si="9"/>
        <v>-5.3313750416423833E-3</v>
      </c>
      <c r="AD18" s="10">
        <f t="shared" si="10"/>
        <v>2.1332634062307676E-3</v>
      </c>
      <c r="AE18" s="10">
        <f t="shared" si="11"/>
        <v>-1.1376627947905726E-2</v>
      </c>
      <c r="AG18" s="11">
        <f t="shared" si="6"/>
        <v>0.16347298859314138</v>
      </c>
      <c r="AH18" s="11">
        <f t="shared" si="6"/>
        <v>17.156521469514672</v>
      </c>
      <c r="AI18" s="11">
        <f t="shared" si="6"/>
        <v>80.170661072498476</v>
      </c>
    </row>
    <row r="19" spans="1:35" s="42" customFormat="1" x14ac:dyDescent="0.2">
      <c r="A19" s="41"/>
      <c r="B19" s="42" t="s">
        <v>39</v>
      </c>
      <c r="C19" s="42">
        <v>1994</v>
      </c>
      <c r="D19" s="42" t="s">
        <v>22</v>
      </c>
      <c r="E19" s="42" t="s">
        <v>42</v>
      </c>
      <c r="F19" s="42" t="s">
        <v>41</v>
      </c>
      <c r="H19" s="43">
        <v>20000</v>
      </c>
      <c r="I19" s="43"/>
      <c r="J19" s="42">
        <v>1</v>
      </c>
      <c r="L19" s="44">
        <f t="shared" si="0"/>
        <v>31.103476799999999</v>
      </c>
      <c r="M19" s="45"/>
      <c r="N19" s="78">
        <v>31.25</v>
      </c>
      <c r="O19" s="46">
        <v>39.03</v>
      </c>
      <c r="P19" s="46">
        <v>2.89</v>
      </c>
      <c r="Q19" s="42">
        <v>0.2</v>
      </c>
      <c r="R19" s="78">
        <v>3</v>
      </c>
      <c r="S19" s="47"/>
      <c r="T19" s="42">
        <f t="shared" si="1"/>
        <v>2.4900000000000002</v>
      </c>
      <c r="U19" s="48">
        <f t="shared" si="2"/>
        <v>1196.429145088216</v>
      </c>
      <c r="V19" s="48">
        <f t="shared" si="3"/>
        <v>2979.1085712696581</v>
      </c>
      <c r="W19" s="46">
        <f t="shared" si="4"/>
        <v>10.416666666666666</v>
      </c>
      <c r="X19" s="49"/>
      <c r="Y19" s="46">
        <f t="shared" si="7"/>
        <v>2.979027645376549</v>
      </c>
      <c r="Z19" s="46">
        <f t="shared" si="5"/>
        <v>10.49</v>
      </c>
      <c r="AA19" s="46">
        <f t="shared" si="8"/>
        <v>31.250848912618714</v>
      </c>
      <c r="AB19" s="50"/>
      <c r="AC19" s="51">
        <f t="shared" si="9"/>
        <v>2.7165203798862336E-5</v>
      </c>
      <c r="AD19" s="51">
        <f t="shared" si="10"/>
        <v>4.7108302696243776E-3</v>
      </c>
      <c r="AE19" s="51">
        <f t="shared" si="11"/>
        <v>-7.0400000000001572E-3</v>
      </c>
      <c r="AF19" s="52"/>
      <c r="AG19" s="53">
        <f t="shared" si="6"/>
        <v>0.17981453338738715</v>
      </c>
      <c r="AH19" s="53">
        <f t="shared" si="6"/>
        <v>18.871569726234899</v>
      </c>
      <c r="AI19" s="53">
        <f t="shared" si="6"/>
        <v>88.184905262779907</v>
      </c>
    </row>
    <row r="20" spans="1:35" x14ac:dyDescent="0.2">
      <c r="B20" s="7" t="s">
        <v>43</v>
      </c>
      <c r="C20" s="7">
        <v>1890</v>
      </c>
      <c r="D20" s="7" t="s">
        <v>104</v>
      </c>
      <c r="E20" s="7" t="s">
        <v>53</v>
      </c>
      <c r="F20" s="7" t="s">
        <v>54</v>
      </c>
      <c r="G20" s="7" t="s">
        <v>67</v>
      </c>
      <c r="H20" s="21">
        <v>8230373</v>
      </c>
      <c r="L20" s="15">
        <v>26.73</v>
      </c>
      <c r="N20" s="77">
        <v>26.63</v>
      </c>
      <c r="O20" s="8">
        <v>37.729999999999997</v>
      </c>
      <c r="P20" s="8">
        <v>2.75</v>
      </c>
      <c r="Q20" s="7">
        <v>0.2</v>
      </c>
      <c r="R20" s="77">
        <v>2.6</v>
      </c>
      <c r="T20" s="7">
        <f t="shared" si="1"/>
        <v>2.35</v>
      </c>
      <c r="U20" s="9">
        <f t="shared" si="2"/>
        <v>1118.055833159111</v>
      </c>
      <c r="V20" s="9">
        <f t="shared" si="3"/>
        <v>2627.4312079239107</v>
      </c>
      <c r="W20" s="8">
        <f t="shared" si="4"/>
        <v>10.242307692307692</v>
      </c>
      <c r="Y20" s="8">
        <f t="shared" si="7"/>
        <v>2.5769305206115733</v>
      </c>
      <c r="Z20" s="8">
        <f t="shared" si="5"/>
        <v>10.334</v>
      </c>
      <c r="AA20" s="8">
        <f t="shared" si="8"/>
        <v>27.151874102685692</v>
      </c>
      <c r="AC20" s="10">
        <f t="shared" si="9"/>
        <v>1.9597225035136834E-2</v>
      </c>
      <c r="AD20" s="10">
        <f t="shared" si="10"/>
        <v>-3.7411148522260573E-3</v>
      </c>
      <c r="AE20" s="10">
        <f t="shared" si="11"/>
        <v>-8.9523094254599922E-3</v>
      </c>
      <c r="AG20" s="11">
        <f t="shared" si="6"/>
        <v>0.15323075277139583</v>
      </c>
      <c r="AH20" s="11">
        <f t="shared" si="6"/>
        <v>16.08159685790833</v>
      </c>
      <c r="AI20" s="11">
        <f t="shared" si="6"/>
        <v>75.147648868730528</v>
      </c>
    </row>
    <row r="21" spans="1:35" x14ac:dyDescent="0.2">
      <c r="B21" s="7" t="s">
        <v>43</v>
      </c>
      <c r="C21" s="7">
        <v>1922</v>
      </c>
      <c r="D21" s="7" t="s">
        <v>104</v>
      </c>
      <c r="E21" s="7" t="s">
        <v>42</v>
      </c>
      <c r="F21" s="7" t="s">
        <v>45</v>
      </c>
      <c r="G21" s="7" t="s">
        <v>68</v>
      </c>
      <c r="H21" s="21">
        <v>51737000</v>
      </c>
      <c r="L21" s="15">
        <v>26.73</v>
      </c>
      <c r="N21" s="77">
        <v>26.75</v>
      </c>
      <c r="O21" s="8">
        <v>38.049999999999997</v>
      </c>
      <c r="P21" s="8">
        <v>2.75</v>
      </c>
      <c r="Q21" s="7">
        <v>0.24</v>
      </c>
      <c r="R21" s="77">
        <v>2.56</v>
      </c>
      <c r="T21" s="7">
        <f t="shared" si="1"/>
        <v>2.27</v>
      </c>
      <c r="U21" s="9">
        <f t="shared" si="2"/>
        <v>1137.101424462234</v>
      </c>
      <c r="V21" s="9">
        <f t="shared" si="3"/>
        <v>2581.2202335292714</v>
      </c>
      <c r="W21" s="8">
        <f t="shared" si="4"/>
        <v>10.44921875</v>
      </c>
      <c r="Y21" s="8">
        <f t="shared" si="7"/>
        <v>2.5885426746661508</v>
      </c>
      <c r="Z21" s="8">
        <f t="shared" si="5"/>
        <v>10.334</v>
      </c>
      <c r="AA21" s="8">
        <f t="shared" si="8"/>
        <v>26.674329893291489</v>
      </c>
      <c r="AC21" s="10">
        <f t="shared" si="9"/>
        <v>-2.8287890358321688E-3</v>
      </c>
      <c r="AD21" s="10">
        <f t="shared" si="10"/>
        <v>7.4822297044518926E-4</v>
      </c>
      <c r="AE21" s="10">
        <f t="shared" si="11"/>
        <v>1.1026542056074784E-2</v>
      </c>
      <c r="AG21" s="11">
        <f t="shared" si="6"/>
        <v>0.15392124057960338</v>
      </c>
      <c r="AH21" s="11">
        <f t="shared" si="6"/>
        <v>16.154063685657075</v>
      </c>
      <c r="AI21" s="11">
        <f t="shared" si="6"/>
        <v>75.486278904939596</v>
      </c>
    </row>
    <row r="22" spans="1:35" s="42" customFormat="1" x14ac:dyDescent="0.2">
      <c r="A22" s="41"/>
      <c r="B22" s="42" t="s">
        <v>43</v>
      </c>
      <c r="C22" s="42">
        <v>2015</v>
      </c>
      <c r="D22" s="42" t="s">
        <v>106</v>
      </c>
      <c r="E22" s="42" t="s">
        <v>5</v>
      </c>
      <c r="F22" s="42" t="s">
        <v>46</v>
      </c>
      <c r="H22" s="43">
        <v>980000</v>
      </c>
      <c r="I22" s="43"/>
      <c r="J22" s="42">
        <v>0.1</v>
      </c>
      <c r="L22" s="44">
        <f t="shared" ref="L22:L37" si="13">IF(J22="",IF(K22="","",K22*GramsPerOz),J22*(GramsPerTroyOz))</f>
        <v>3.1103476800000003</v>
      </c>
      <c r="M22" s="45"/>
      <c r="N22" s="78">
        <v>3.4</v>
      </c>
      <c r="O22" s="46">
        <v>16.510000000000002</v>
      </c>
      <c r="P22" s="46">
        <v>1.17</v>
      </c>
      <c r="Q22" s="42">
        <v>0.17</v>
      </c>
      <c r="R22" s="80">
        <v>0.19</v>
      </c>
      <c r="S22" s="47"/>
      <c r="T22" s="42">
        <f t="shared" si="1"/>
        <v>0.82999999999999985</v>
      </c>
      <c r="U22" s="48">
        <f t="shared" si="2"/>
        <v>214.08390991869285</v>
      </c>
      <c r="V22" s="48">
        <f t="shared" si="3"/>
        <v>177.68964523251503</v>
      </c>
      <c r="W22" s="46">
        <f t="shared" si="4"/>
        <v>17.894736842105264</v>
      </c>
      <c r="X22" s="49"/>
      <c r="Y22" s="46">
        <f t="shared" si="7"/>
        <v>0.18424023481598553</v>
      </c>
      <c r="Z22" s="46">
        <f t="shared" si="5"/>
        <v>18.454166666666669</v>
      </c>
      <c r="AA22" s="46">
        <f t="shared" si="8"/>
        <v>3.2791143280617048</v>
      </c>
      <c r="AB22" s="50"/>
      <c r="AC22" s="51">
        <f t="shared" si="9"/>
        <v>-3.555460939361621E-2</v>
      </c>
      <c r="AD22" s="51">
        <f t="shared" si="10"/>
        <v>9.3125383333351186E-2</v>
      </c>
      <c r="AE22" s="51">
        <f t="shared" si="11"/>
        <v>-3.1262254901960995E-2</v>
      </c>
      <c r="AF22" s="52"/>
      <c r="AG22" s="53">
        <f t="shared" si="6"/>
        <v>1.9563821232547719E-2</v>
      </c>
      <c r="AH22" s="53">
        <f t="shared" si="6"/>
        <v>2.0532267862143572</v>
      </c>
      <c r="AI22" s="53">
        <f t="shared" si="6"/>
        <v>9.5945176925904541</v>
      </c>
    </row>
    <row r="23" spans="1:35" x14ac:dyDescent="0.2">
      <c r="L23" s="15" t="str">
        <f t="shared" si="13"/>
        <v/>
      </c>
      <c r="T23" s="7" t="str">
        <f t="shared" si="1"/>
        <v/>
      </c>
      <c r="U23" s="9" t="str">
        <f t="shared" si="2"/>
        <v/>
      </c>
      <c r="V23" s="9" t="str">
        <f t="shared" ref="V23:V37" si="14">IF(U23="","",U23*T23)</f>
        <v/>
      </c>
      <c r="W23" s="8" t="str">
        <f t="shared" si="4"/>
        <v/>
      </c>
      <c r="Y23" s="8" t="str">
        <f t="shared" si="7"/>
        <v/>
      </c>
      <c r="Z23" s="8" t="str">
        <f t="shared" si="5"/>
        <v/>
      </c>
      <c r="AA23" s="8" t="str">
        <f t="shared" si="8"/>
        <v/>
      </c>
      <c r="AC23" s="10" t="str">
        <f t="shared" si="9"/>
        <v/>
      </c>
      <c r="AD23" s="10" t="str">
        <f t="shared" si="10"/>
        <v/>
      </c>
      <c r="AE23" s="10" t="str">
        <f t="shared" si="11"/>
        <v/>
      </c>
      <c r="AG23" s="11" t="str">
        <f t="shared" si="6"/>
        <v/>
      </c>
      <c r="AH23" s="11" t="str">
        <f t="shared" si="6"/>
        <v/>
      </c>
      <c r="AI23" s="11" t="str">
        <f t="shared" si="6"/>
        <v/>
      </c>
    </row>
    <row r="24" spans="1:35" x14ac:dyDescent="0.2">
      <c r="B24" s="7" t="s">
        <v>111</v>
      </c>
      <c r="C24" s="7">
        <v>1886</v>
      </c>
      <c r="D24" s="7" t="s">
        <v>104</v>
      </c>
      <c r="E24" s="7" t="s">
        <v>112</v>
      </c>
      <c r="F24" s="7" t="s">
        <v>113</v>
      </c>
      <c r="L24" s="15">
        <v>26.96</v>
      </c>
      <c r="N24" s="8">
        <v>26.91</v>
      </c>
      <c r="O24" s="8">
        <v>38.64</v>
      </c>
      <c r="P24" s="8">
        <v>2.65</v>
      </c>
      <c r="Q24" s="7">
        <v>0.2</v>
      </c>
      <c r="R24" s="8">
        <f>81.68-79.04</f>
        <v>2.6400000000000006</v>
      </c>
      <c r="T24" s="7">
        <f t="shared" si="1"/>
        <v>2.25</v>
      </c>
      <c r="U24" s="9">
        <f t="shared" si="2"/>
        <v>1172.6384137012949</v>
      </c>
      <c r="V24" s="9">
        <f t="shared" si="14"/>
        <v>2638.4364308279137</v>
      </c>
      <c r="W24" s="8">
        <f t="shared" si="4"/>
        <v>10.193181818181817</v>
      </c>
      <c r="Y24" s="8">
        <f t="shared" si="7"/>
        <v>2.6040255467389204</v>
      </c>
      <c r="Z24" s="8">
        <f t="shared" si="5"/>
        <v>10.334</v>
      </c>
      <c r="AA24" s="8">
        <f t="shared" si="8"/>
        <v>27.265602076175661</v>
      </c>
      <c r="AC24" s="10">
        <f t="shared" si="9"/>
        <v>1.3214495584379815E-2</v>
      </c>
      <c r="AD24" s="10">
        <f t="shared" si="10"/>
        <v>-1.8545994065282123E-3</v>
      </c>
      <c r="AE24" s="10">
        <f t="shared" si="11"/>
        <v>-1.3814938684504119E-2</v>
      </c>
      <c r="AG24" s="11">
        <f t="shared" si="6"/>
        <v>0.15484189099054682</v>
      </c>
      <c r="AH24" s="11">
        <f t="shared" si="6"/>
        <v>16.250686122655399</v>
      </c>
      <c r="AI24" s="11">
        <f t="shared" si="6"/>
        <v>75.937785619885034</v>
      </c>
    </row>
    <row r="25" spans="1:35" x14ac:dyDescent="0.2">
      <c r="L25" s="15" t="str">
        <f t="shared" si="13"/>
        <v/>
      </c>
      <c r="T25" s="7" t="str">
        <f t="shared" si="1"/>
        <v/>
      </c>
      <c r="U25" s="9" t="str">
        <f t="shared" si="2"/>
        <v/>
      </c>
      <c r="V25" s="9" t="str">
        <f t="shared" si="14"/>
        <v/>
      </c>
      <c r="W25" s="8" t="str">
        <f t="shared" si="4"/>
        <v/>
      </c>
      <c r="Y25" s="8" t="str">
        <f t="shared" si="7"/>
        <v/>
      </c>
      <c r="Z25" s="8" t="str">
        <f t="shared" si="5"/>
        <v/>
      </c>
      <c r="AA25" s="8" t="str">
        <f t="shared" si="8"/>
        <v/>
      </c>
      <c r="AC25" s="10" t="str">
        <f t="shared" si="9"/>
        <v/>
      </c>
      <c r="AD25" s="10" t="str">
        <f t="shared" si="10"/>
        <v/>
      </c>
      <c r="AE25" s="10" t="str">
        <f t="shared" si="11"/>
        <v/>
      </c>
      <c r="AG25" s="11" t="str">
        <f t="shared" si="6"/>
        <v/>
      </c>
      <c r="AH25" s="11" t="str">
        <f t="shared" si="6"/>
        <v/>
      </c>
      <c r="AI25" s="11" t="str">
        <f t="shared" si="6"/>
        <v/>
      </c>
    </row>
    <row r="26" spans="1:35" x14ac:dyDescent="0.2">
      <c r="L26" s="15" t="str">
        <f t="shared" si="13"/>
        <v/>
      </c>
      <c r="T26" s="7" t="str">
        <f t="shared" si="1"/>
        <v/>
      </c>
      <c r="U26" s="9" t="str">
        <f t="shared" si="2"/>
        <v/>
      </c>
      <c r="V26" s="9" t="str">
        <f t="shared" si="14"/>
        <v/>
      </c>
      <c r="W26" s="8" t="str">
        <f t="shared" si="4"/>
        <v/>
      </c>
      <c r="Y26" s="8" t="str">
        <f t="shared" si="7"/>
        <v/>
      </c>
      <c r="Z26" s="8" t="str">
        <f t="shared" si="5"/>
        <v/>
      </c>
      <c r="AA26" s="8" t="str">
        <f t="shared" si="8"/>
        <v/>
      </c>
      <c r="AC26" s="10" t="str">
        <f t="shared" si="9"/>
        <v/>
      </c>
      <c r="AD26" s="10" t="str">
        <f t="shared" si="10"/>
        <v/>
      </c>
      <c r="AE26" s="10" t="str">
        <f t="shared" si="11"/>
        <v/>
      </c>
      <c r="AG26" s="11" t="str">
        <f t="shared" si="6"/>
        <v/>
      </c>
      <c r="AH26" s="11" t="str">
        <f t="shared" si="6"/>
        <v/>
      </c>
      <c r="AI26" s="11" t="str">
        <f t="shared" si="6"/>
        <v/>
      </c>
    </row>
    <row r="27" spans="1:35" x14ac:dyDescent="0.2">
      <c r="L27" s="15" t="str">
        <f t="shared" si="13"/>
        <v/>
      </c>
      <c r="T27" s="7" t="str">
        <f t="shared" si="1"/>
        <v/>
      </c>
      <c r="U27" s="9" t="str">
        <f t="shared" si="2"/>
        <v/>
      </c>
      <c r="V27" s="9" t="str">
        <f t="shared" si="14"/>
        <v/>
      </c>
      <c r="W27" s="8" t="str">
        <f t="shared" si="4"/>
        <v/>
      </c>
      <c r="Y27" s="8" t="str">
        <f t="shared" si="7"/>
        <v/>
      </c>
      <c r="Z27" s="8" t="str">
        <f t="shared" si="5"/>
        <v/>
      </c>
      <c r="AA27" s="8" t="str">
        <f t="shared" si="8"/>
        <v/>
      </c>
      <c r="AC27" s="10" t="str">
        <f t="shared" si="9"/>
        <v/>
      </c>
      <c r="AD27" s="10" t="str">
        <f t="shared" si="10"/>
        <v/>
      </c>
      <c r="AE27" s="10" t="str">
        <f t="shared" si="11"/>
        <v/>
      </c>
      <c r="AG27" s="11" t="str">
        <f t="shared" ref="AG27:AI41" si="15">IF($N27="","",VLOOKUP(AG$4,Metals,7,FALSE)*$N27/GramsPerOz)</f>
        <v/>
      </c>
      <c r="AH27" s="11" t="str">
        <f t="shared" si="15"/>
        <v/>
      </c>
      <c r="AI27" s="11" t="str">
        <f t="shared" si="15"/>
        <v/>
      </c>
    </row>
    <row r="28" spans="1:35" x14ac:dyDescent="0.2">
      <c r="L28" s="15" t="str">
        <f t="shared" si="13"/>
        <v/>
      </c>
      <c r="T28" s="7" t="str">
        <f t="shared" si="1"/>
        <v/>
      </c>
      <c r="U28" s="9" t="str">
        <f t="shared" si="2"/>
        <v/>
      </c>
      <c r="V28" s="9" t="str">
        <f t="shared" si="14"/>
        <v/>
      </c>
      <c r="W28" s="8" t="str">
        <f t="shared" si="4"/>
        <v/>
      </c>
      <c r="Y28" s="8" t="str">
        <f t="shared" si="7"/>
        <v/>
      </c>
      <c r="Z28" s="8" t="str">
        <f t="shared" si="5"/>
        <v/>
      </c>
      <c r="AA28" s="8" t="str">
        <f t="shared" si="8"/>
        <v/>
      </c>
      <c r="AC28" s="10" t="str">
        <f t="shared" si="9"/>
        <v/>
      </c>
      <c r="AD28" s="10" t="str">
        <f t="shared" si="10"/>
        <v/>
      </c>
      <c r="AE28" s="10" t="str">
        <f t="shared" si="11"/>
        <v/>
      </c>
      <c r="AG28" s="11" t="str">
        <f t="shared" si="15"/>
        <v/>
      </c>
      <c r="AH28" s="11" t="str">
        <f t="shared" si="15"/>
        <v/>
      </c>
      <c r="AI28" s="11" t="str">
        <f t="shared" si="15"/>
        <v/>
      </c>
    </row>
    <row r="29" spans="1:35" x14ac:dyDescent="0.2">
      <c r="L29" s="15" t="str">
        <f t="shared" si="13"/>
        <v/>
      </c>
      <c r="T29" s="7" t="str">
        <f t="shared" si="1"/>
        <v/>
      </c>
      <c r="U29" s="9" t="str">
        <f t="shared" si="2"/>
        <v/>
      </c>
      <c r="V29" s="9" t="str">
        <f t="shared" si="14"/>
        <v/>
      </c>
      <c r="W29" s="8" t="str">
        <f t="shared" si="4"/>
        <v/>
      </c>
      <c r="Y29" s="8" t="str">
        <f t="shared" si="7"/>
        <v/>
      </c>
      <c r="Z29" s="8" t="str">
        <f t="shared" si="5"/>
        <v/>
      </c>
      <c r="AA29" s="8" t="str">
        <f t="shared" si="8"/>
        <v/>
      </c>
      <c r="AC29" s="10" t="str">
        <f t="shared" si="9"/>
        <v/>
      </c>
      <c r="AD29" s="10" t="str">
        <f t="shared" si="10"/>
        <v/>
      </c>
      <c r="AE29" s="10" t="str">
        <f t="shared" si="11"/>
        <v/>
      </c>
      <c r="AG29" s="11" t="str">
        <f t="shared" si="15"/>
        <v/>
      </c>
      <c r="AH29" s="11" t="str">
        <f t="shared" si="15"/>
        <v/>
      </c>
      <c r="AI29" s="11" t="str">
        <f t="shared" si="15"/>
        <v/>
      </c>
    </row>
    <row r="30" spans="1:35" x14ac:dyDescent="0.2">
      <c r="L30" s="15" t="str">
        <f t="shared" si="13"/>
        <v/>
      </c>
      <c r="T30" s="7" t="str">
        <f t="shared" si="1"/>
        <v/>
      </c>
      <c r="U30" s="9" t="str">
        <f t="shared" si="2"/>
        <v/>
      </c>
      <c r="V30" s="9" t="str">
        <f t="shared" si="14"/>
        <v/>
      </c>
      <c r="W30" s="8" t="str">
        <f t="shared" si="4"/>
        <v/>
      </c>
      <c r="Y30" s="8" t="str">
        <f t="shared" si="7"/>
        <v/>
      </c>
      <c r="Z30" s="8" t="str">
        <f t="shared" si="5"/>
        <v/>
      </c>
      <c r="AA30" s="8" t="str">
        <f t="shared" si="8"/>
        <v/>
      </c>
      <c r="AC30" s="10" t="str">
        <f t="shared" si="9"/>
        <v/>
      </c>
      <c r="AD30" s="10" t="str">
        <f t="shared" si="10"/>
        <v/>
      </c>
      <c r="AE30" s="10" t="str">
        <f t="shared" si="11"/>
        <v/>
      </c>
      <c r="AG30" s="11" t="str">
        <f t="shared" si="15"/>
        <v/>
      </c>
      <c r="AH30" s="11" t="str">
        <f t="shared" si="15"/>
        <v/>
      </c>
      <c r="AI30" s="11" t="str">
        <f t="shared" si="15"/>
        <v/>
      </c>
    </row>
    <row r="31" spans="1:35" x14ac:dyDescent="0.2">
      <c r="L31" s="15" t="str">
        <f t="shared" si="13"/>
        <v/>
      </c>
      <c r="T31" s="7" t="str">
        <f t="shared" si="1"/>
        <v/>
      </c>
      <c r="U31" s="9" t="str">
        <f t="shared" si="2"/>
        <v/>
      </c>
      <c r="V31" s="9" t="str">
        <f t="shared" si="14"/>
        <v/>
      </c>
      <c r="W31" s="8" t="str">
        <f t="shared" si="4"/>
        <v/>
      </c>
      <c r="Y31" s="8" t="str">
        <f t="shared" si="7"/>
        <v/>
      </c>
      <c r="Z31" s="8" t="str">
        <f t="shared" si="5"/>
        <v/>
      </c>
      <c r="AA31" s="8" t="str">
        <f t="shared" si="8"/>
        <v/>
      </c>
      <c r="AC31" s="10" t="str">
        <f t="shared" si="9"/>
        <v/>
      </c>
      <c r="AD31" s="10" t="str">
        <f t="shared" si="10"/>
        <v/>
      </c>
      <c r="AE31" s="10" t="str">
        <f t="shared" si="11"/>
        <v/>
      </c>
      <c r="AG31" s="11" t="str">
        <f t="shared" si="15"/>
        <v/>
      </c>
      <c r="AH31" s="11" t="str">
        <f t="shared" si="15"/>
        <v/>
      </c>
      <c r="AI31" s="11" t="str">
        <f t="shared" si="15"/>
        <v/>
      </c>
    </row>
    <row r="32" spans="1:35" x14ac:dyDescent="0.2">
      <c r="L32" s="15" t="str">
        <f t="shared" si="13"/>
        <v/>
      </c>
      <c r="T32" s="7" t="str">
        <f t="shared" si="1"/>
        <v/>
      </c>
      <c r="U32" s="9" t="str">
        <f t="shared" si="2"/>
        <v/>
      </c>
      <c r="V32" s="9" t="str">
        <f t="shared" si="14"/>
        <v/>
      </c>
      <c r="W32" s="8" t="str">
        <f t="shared" si="4"/>
        <v/>
      </c>
      <c r="Y32" s="8" t="str">
        <f t="shared" si="7"/>
        <v/>
      </c>
      <c r="Z32" s="8" t="str">
        <f t="shared" si="5"/>
        <v/>
      </c>
      <c r="AA32" s="8" t="str">
        <f t="shared" si="8"/>
        <v/>
      </c>
      <c r="AC32" s="10" t="str">
        <f t="shared" si="9"/>
        <v/>
      </c>
      <c r="AD32" s="10" t="str">
        <f t="shared" si="10"/>
        <v/>
      </c>
      <c r="AE32" s="10" t="str">
        <f t="shared" si="11"/>
        <v/>
      </c>
      <c r="AG32" s="11" t="str">
        <f t="shared" si="15"/>
        <v/>
      </c>
      <c r="AH32" s="11" t="str">
        <f t="shared" si="15"/>
        <v/>
      </c>
      <c r="AI32" s="11" t="str">
        <f t="shared" si="15"/>
        <v/>
      </c>
    </row>
    <row r="33" spans="12:35" x14ac:dyDescent="0.2">
      <c r="L33" s="15" t="str">
        <f t="shared" si="13"/>
        <v/>
      </c>
      <c r="T33" s="7" t="str">
        <f t="shared" si="1"/>
        <v/>
      </c>
      <c r="U33" s="9" t="str">
        <f t="shared" si="2"/>
        <v/>
      </c>
      <c r="V33" s="9" t="str">
        <f t="shared" si="14"/>
        <v/>
      </c>
      <c r="W33" s="8" t="str">
        <f t="shared" si="4"/>
        <v/>
      </c>
      <c r="Y33" s="8" t="str">
        <f t="shared" si="7"/>
        <v/>
      </c>
      <c r="Z33" s="8" t="str">
        <f t="shared" si="5"/>
        <v/>
      </c>
      <c r="AA33" s="8" t="str">
        <f t="shared" si="8"/>
        <v/>
      </c>
      <c r="AC33" s="10" t="str">
        <f t="shared" si="9"/>
        <v/>
      </c>
      <c r="AD33" s="10" t="str">
        <f t="shared" si="10"/>
        <v/>
      </c>
      <c r="AE33" s="10" t="str">
        <f t="shared" si="11"/>
        <v/>
      </c>
      <c r="AG33" s="11" t="str">
        <f t="shared" si="15"/>
        <v/>
      </c>
      <c r="AH33" s="11" t="str">
        <f t="shared" si="15"/>
        <v/>
      </c>
      <c r="AI33" s="11" t="str">
        <f t="shared" si="15"/>
        <v/>
      </c>
    </row>
    <row r="34" spans="12:35" x14ac:dyDescent="0.2">
      <c r="L34" s="15" t="str">
        <f t="shared" si="13"/>
        <v/>
      </c>
      <c r="T34" s="7" t="str">
        <f t="shared" si="1"/>
        <v/>
      </c>
      <c r="U34" s="9" t="str">
        <f t="shared" si="2"/>
        <v/>
      </c>
      <c r="V34" s="9" t="str">
        <f t="shared" si="14"/>
        <v/>
      </c>
      <c r="W34" s="8" t="str">
        <f t="shared" si="4"/>
        <v/>
      </c>
      <c r="Y34" s="8" t="str">
        <f t="shared" si="7"/>
        <v/>
      </c>
      <c r="Z34" s="8" t="str">
        <f t="shared" si="5"/>
        <v/>
      </c>
      <c r="AA34" s="8" t="str">
        <f t="shared" si="8"/>
        <v/>
      </c>
      <c r="AC34" s="10" t="str">
        <f t="shared" si="9"/>
        <v/>
      </c>
      <c r="AD34" s="10" t="str">
        <f t="shared" si="10"/>
        <v/>
      </c>
      <c r="AE34" s="10" t="str">
        <f t="shared" si="11"/>
        <v/>
      </c>
      <c r="AG34" s="11" t="str">
        <f t="shared" si="15"/>
        <v/>
      </c>
      <c r="AH34" s="11" t="str">
        <f t="shared" si="15"/>
        <v/>
      </c>
      <c r="AI34" s="11" t="str">
        <f t="shared" si="15"/>
        <v/>
      </c>
    </row>
    <row r="35" spans="12:35" x14ac:dyDescent="0.2">
      <c r="L35" s="15" t="str">
        <f t="shared" si="13"/>
        <v/>
      </c>
      <c r="T35" s="7" t="str">
        <f t="shared" si="1"/>
        <v/>
      </c>
      <c r="U35" s="9" t="str">
        <f t="shared" si="2"/>
        <v/>
      </c>
      <c r="V35" s="9" t="str">
        <f t="shared" si="14"/>
        <v/>
      </c>
      <c r="W35" s="8" t="str">
        <f t="shared" si="4"/>
        <v/>
      </c>
      <c r="Y35" s="8" t="str">
        <f t="shared" si="7"/>
        <v/>
      </c>
      <c r="Z35" s="8" t="str">
        <f t="shared" si="5"/>
        <v/>
      </c>
      <c r="AA35" s="8" t="str">
        <f t="shared" si="8"/>
        <v/>
      </c>
      <c r="AC35" s="10" t="str">
        <f t="shared" si="9"/>
        <v/>
      </c>
      <c r="AD35" s="10" t="str">
        <f t="shared" si="10"/>
        <v/>
      </c>
      <c r="AE35" s="10" t="str">
        <f t="shared" si="11"/>
        <v/>
      </c>
      <c r="AG35" s="11" t="str">
        <f t="shared" si="15"/>
        <v/>
      </c>
      <c r="AH35" s="11" t="str">
        <f t="shared" si="15"/>
        <v/>
      </c>
      <c r="AI35" s="11" t="str">
        <f t="shared" si="15"/>
        <v/>
      </c>
    </row>
    <row r="36" spans="12:35" x14ac:dyDescent="0.2">
      <c r="L36" s="15" t="str">
        <f t="shared" si="13"/>
        <v/>
      </c>
      <c r="T36" s="7" t="str">
        <f t="shared" si="1"/>
        <v/>
      </c>
      <c r="U36" s="9" t="str">
        <f t="shared" si="2"/>
        <v/>
      </c>
      <c r="V36" s="9" t="str">
        <f t="shared" si="14"/>
        <v/>
      </c>
      <c r="W36" s="8" t="str">
        <f t="shared" si="4"/>
        <v/>
      </c>
      <c r="Y36" s="8" t="str">
        <f t="shared" si="7"/>
        <v/>
      </c>
      <c r="Z36" s="8" t="str">
        <f t="shared" si="5"/>
        <v/>
      </c>
      <c r="AA36" s="8" t="str">
        <f t="shared" si="8"/>
        <v/>
      </c>
      <c r="AC36" s="10" t="str">
        <f t="shared" si="9"/>
        <v/>
      </c>
      <c r="AD36" s="10" t="str">
        <f t="shared" si="10"/>
        <v/>
      </c>
      <c r="AE36" s="10" t="str">
        <f t="shared" si="11"/>
        <v/>
      </c>
      <c r="AG36" s="11" t="str">
        <f t="shared" si="15"/>
        <v/>
      </c>
      <c r="AH36" s="11" t="str">
        <f t="shared" si="15"/>
        <v/>
      </c>
      <c r="AI36" s="11" t="str">
        <f t="shared" si="15"/>
        <v/>
      </c>
    </row>
    <row r="37" spans="12:35" x14ac:dyDescent="0.2">
      <c r="L37" s="15" t="str">
        <f t="shared" si="13"/>
        <v/>
      </c>
      <c r="T37" s="7" t="str">
        <f t="shared" si="1"/>
        <v/>
      </c>
      <c r="U37" s="9" t="str">
        <f t="shared" si="2"/>
        <v/>
      </c>
      <c r="V37" s="9" t="str">
        <f t="shared" si="14"/>
        <v/>
      </c>
      <c r="W37" s="8" t="str">
        <f t="shared" si="4"/>
        <v/>
      </c>
      <c r="Y37" s="8" t="str">
        <f t="shared" si="7"/>
        <v/>
      </c>
      <c r="Z37" s="8" t="str">
        <f t="shared" si="5"/>
        <v/>
      </c>
      <c r="AA37" s="8" t="str">
        <f t="shared" si="8"/>
        <v/>
      </c>
      <c r="AC37" s="10" t="str">
        <f t="shared" si="9"/>
        <v/>
      </c>
      <c r="AD37" s="10" t="str">
        <f t="shared" si="10"/>
        <v/>
      </c>
      <c r="AE37" s="10" t="str">
        <f t="shared" si="11"/>
        <v/>
      </c>
      <c r="AG37" s="11" t="str">
        <f t="shared" si="15"/>
        <v/>
      </c>
      <c r="AH37" s="11" t="str">
        <f t="shared" si="15"/>
        <v/>
      </c>
      <c r="AI37" s="11" t="str">
        <f t="shared" si="15"/>
        <v/>
      </c>
    </row>
    <row r="38" spans="12:35" x14ac:dyDescent="0.2">
      <c r="Y38" s="8" t="str">
        <f t="shared" si="7"/>
        <v/>
      </c>
      <c r="Z38" s="8" t="str">
        <f t="shared" si="5"/>
        <v/>
      </c>
      <c r="AA38" s="8" t="str">
        <f t="shared" si="8"/>
        <v/>
      </c>
      <c r="AC38" s="10" t="str">
        <f t="shared" si="9"/>
        <v/>
      </c>
      <c r="AD38" s="10" t="str">
        <f t="shared" si="10"/>
        <v/>
      </c>
      <c r="AE38" s="10" t="str">
        <f t="shared" si="11"/>
        <v/>
      </c>
      <c r="AG38" s="11" t="str">
        <f t="shared" si="15"/>
        <v/>
      </c>
      <c r="AH38" s="11" t="str">
        <f t="shared" si="15"/>
        <v/>
      </c>
      <c r="AI38" s="11" t="str">
        <f t="shared" si="15"/>
        <v/>
      </c>
    </row>
    <row r="39" spans="12:35" x14ac:dyDescent="0.2">
      <c r="Y39" s="8" t="str">
        <f t="shared" si="7"/>
        <v/>
      </c>
      <c r="Z39" s="8" t="str">
        <f t="shared" si="5"/>
        <v/>
      </c>
      <c r="AA39" s="8" t="str">
        <f t="shared" si="8"/>
        <v/>
      </c>
      <c r="AC39" s="10" t="str">
        <f t="shared" si="9"/>
        <v/>
      </c>
      <c r="AD39" s="10" t="str">
        <f t="shared" si="10"/>
        <v/>
      </c>
      <c r="AE39" s="10" t="str">
        <f t="shared" si="11"/>
        <v/>
      </c>
      <c r="AG39" s="11" t="str">
        <f t="shared" si="15"/>
        <v/>
      </c>
      <c r="AH39" s="11" t="str">
        <f t="shared" si="15"/>
        <v/>
      </c>
      <c r="AI39" s="11" t="str">
        <f t="shared" si="15"/>
        <v/>
      </c>
    </row>
    <row r="40" spans="12:35" x14ac:dyDescent="0.2">
      <c r="Z40" s="8" t="str">
        <f t="shared" si="5"/>
        <v/>
      </c>
      <c r="AA40" s="8" t="str">
        <f t="shared" si="8"/>
        <v/>
      </c>
      <c r="AC40" s="10" t="str">
        <f t="shared" si="9"/>
        <v/>
      </c>
      <c r="AD40" s="10" t="str">
        <f t="shared" si="10"/>
        <v/>
      </c>
      <c r="AE40" s="10" t="str">
        <f t="shared" si="11"/>
        <v/>
      </c>
      <c r="AG40" s="11" t="str">
        <f t="shared" si="15"/>
        <v/>
      </c>
      <c r="AH40" s="11" t="str">
        <f t="shared" si="15"/>
        <v/>
      </c>
      <c r="AI40" s="11" t="str">
        <f t="shared" si="15"/>
        <v/>
      </c>
    </row>
    <row r="41" spans="12:35" x14ac:dyDescent="0.2">
      <c r="Z41" s="8" t="str">
        <f t="shared" si="5"/>
        <v/>
      </c>
      <c r="AA41" s="8" t="str">
        <f t="shared" si="8"/>
        <v/>
      </c>
      <c r="AC41" s="10" t="str">
        <f t="shared" si="9"/>
        <v/>
      </c>
      <c r="AD41" s="10" t="str">
        <f t="shared" si="10"/>
        <v/>
      </c>
      <c r="AE41" s="10" t="str">
        <f t="shared" si="11"/>
        <v/>
      </c>
      <c r="AG41" s="11" t="str">
        <f t="shared" si="15"/>
        <v/>
      </c>
      <c r="AH41" s="11" t="str">
        <f t="shared" si="15"/>
        <v/>
      </c>
      <c r="AI41" s="11" t="str">
        <f t="shared" si="15"/>
        <v/>
      </c>
    </row>
    <row r="42" spans="12:35" x14ac:dyDescent="0.2">
      <c r="AG42" s="11" t="str">
        <f>IF($N42="","",VLOOKUP(AG$4,Metals,6,FALSE)*$N42/GramsPerOz)</f>
        <v/>
      </c>
      <c r="AH42" s="7" t="str">
        <f>IF($N42="","",VLOOKUP(AH$4,Metals,6,FALSE)*$N42/GramsPerOz)</f>
        <v/>
      </c>
      <c r="AI42" s="7" t="str">
        <f>IF($N42="","",VLOOKUP(AI$4,Metals,6,FALSE)*$N42/GramsPerOz)</f>
        <v/>
      </c>
    </row>
  </sheetData>
  <sortState ref="A6:AH19">
    <sortCondition ref="B6:B19"/>
    <sortCondition ref="C6:C19"/>
    <sortCondition ref="F6:F19"/>
  </sortState>
  <dataValidations count="1">
    <dataValidation type="list" allowBlank="1" showInputMessage="1" showErrorMessage="1" sqref="D7:D41" xr:uid="{00000000-0002-0000-0000-000000000000}">
      <formula1>Compositions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5"/>
  <sheetViews>
    <sheetView showRuler="0" workbookViewId="0">
      <selection activeCell="B6" sqref="B6:B23"/>
    </sheetView>
  </sheetViews>
  <sheetFormatPr baseColWidth="10" defaultRowHeight="16" x14ac:dyDescent="0.2"/>
  <cols>
    <col min="6" max="6" width="47" customWidth="1"/>
    <col min="7" max="7" width="10.83203125" customWidth="1"/>
  </cols>
  <sheetData>
    <row r="1" spans="2:9" x14ac:dyDescent="0.2">
      <c r="G1" s="2"/>
    </row>
    <row r="2" spans="2:9" x14ac:dyDescent="0.2">
      <c r="F2" s="1" t="s">
        <v>44</v>
      </c>
    </row>
    <row r="4" spans="2:9" x14ac:dyDescent="0.2">
      <c r="B4" s="1" t="s">
        <v>27</v>
      </c>
      <c r="C4" s="1" t="s">
        <v>63</v>
      </c>
      <c r="D4" s="1" t="s">
        <v>109</v>
      </c>
      <c r="E4" s="1" t="s">
        <v>108</v>
      </c>
      <c r="F4" s="1" t="s">
        <v>110</v>
      </c>
      <c r="G4" s="1" t="s">
        <v>31</v>
      </c>
      <c r="H4" s="18" t="s">
        <v>32</v>
      </c>
      <c r="I4" s="1" t="s">
        <v>102</v>
      </c>
    </row>
    <row r="5" spans="2:9" ht="3" customHeight="1" x14ac:dyDescent="0.2">
      <c r="B5" s="1"/>
      <c r="C5" s="1"/>
      <c r="D5" s="1"/>
      <c r="E5" s="1"/>
      <c r="F5" s="1"/>
      <c r="G5" s="1"/>
      <c r="H5" s="18"/>
    </row>
    <row r="6" spans="2:9" ht="16" customHeight="1" x14ac:dyDescent="0.2">
      <c r="B6" s="85" t="s">
        <v>88</v>
      </c>
      <c r="C6" s="40">
        <v>1</v>
      </c>
      <c r="D6" s="85" t="s">
        <v>88</v>
      </c>
      <c r="E6" s="40"/>
      <c r="F6" s="16">
        <v>4.5060000000000002</v>
      </c>
      <c r="G6" s="1"/>
      <c r="H6" s="18"/>
      <c r="I6" t="s">
        <v>90</v>
      </c>
    </row>
    <row r="7" spans="2:9" ht="16" customHeight="1" x14ac:dyDescent="0.2">
      <c r="B7" s="85" t="s">
        <v>94</v>
      </c>
      <c r="C7" s="40">
        <v>1</v>
      </c>
      <c r="D7" s="85" t="s">
        <v>94</v>
      </c>
      <c r="E7" s="40"/>
      <c r="F7" s="16">
        <v>7.1349999999999998</v>
      </c>
      <c r="G7" s="1"/>
      <c r="H7" s="18"/>
      <c r="I7" t="s">
        <v>95</v>
      </c>
    </row>
    <row r="8" spans="2:9" x14ac:dyDescent="0.2">
      <c r="B8" t="s">
        <v>51</v>
      </c>
      <c r="C8" s="40">
        <v>1</v>
      </c>
      <c r="D8" t="s">
        <v>51</v>
      </c>
      <c r="E8" s="40"/>
      <c r="F8" s="16">
        <v>7.31</v>
      </c>
      <c r="G8" s="2"/>
      <c r="H8" s="14"/>
      <c r="I8" t="s">
        <v>96</v>
      </c>
    </row>
    <row r="9" spans="2:9" x14ac:dyDescent="0.2">
      <c r="B9" t="s">
        <v>52</v>
      </c>
      <c r="C9" s="40">
        <v>1</v>
      </c>
      <c r="D9" t="s">
        <v>52</v>
      </c>
      <c r="E9" s="40"/>
      <c r="F9" s="16">
        <f>(7.44+7.21)/2</f>
        <v>7.3250000000000002</v>
      </c>
      <c r="G9" s="2"/>
      <c r="H9" s="14"/>
      <c r="I9" t="s">
        <v>89</v>
      </c>
    </row>
    <row r="10" spans="2:9" x14ac:dyDescent="0.2">
      <c r="B10" t="s">
        <v>91</v>
      </c>
      <c r="C10" s="40">
        <v>1</v>
      </c>
      <c r="D10" t="s">
        <v>91</v>
      </c>
      <c r="E10" s="40"/>
      <c r="F10" s="16">
        <v>7.85</v>
      </c>
      <c r="G10" s="2"/>
      <c r="H10" s="14"/>
      <c r="I10" t="s">
        <v>92</v>
      </c>
    </row>
    <row r="11" spans="2:9" x14ac:dyDescent="0.2">
      <c r="B11" t="s">
        <v>66</v>
      </c>
      <c r="C11" s="40">
        <v>0.85</v>
      </c>
      <c r="D11" t="s">
        <v>19</v>
      </c>
      <c r="E11" s="40" t="s">
        <v>52</v>
      </c>
      <c r="F11" s="16">
        <f>VLOOKUP(D11,Metals,5,FALSE)*C11+VLOOKUP(E11,Metals,5,FALSE)*(1-C11)</f>
        <v>8.6892499999999995</v>
      </c>
      <c r="G11" s="2"/>
      <c r="H11" s="14"/>
    </row>
    <row r="12" spans="2:9" x14ac:dyDescent="0.2">
      <c r="B12" s="86" t="s">
        <v>64</v>
      </c>
      <c r="C12" s="40">
        <v>1</v>
      </c>
      <c r="D12" t="s">
        <v>64</v>
      </c>
      <c r="E12" s="40"/>
      <c r="F12" s="16">
        <v>8.8000000000000007</v>
      </c>
      <c r="G12" s="12"/>
      <c r="H12" s="12"/>
      <c r="I12" t="s">
        <v>97</v>
      </c>
    </row>
    <row r="13" spans="2:9" x14ac:dyDescent="0.2">
      <c r="B13" t="s">
        <v>65</v>
      </c>
      <c r="C13" s="40">
        <f>75/100</f>
        <v>0.75</v>
      </c>
      <c r="D13" t="s">
        <v>19</v>
      </c>
      <c r="E13" s="40" t="s">
        <v>64</v>
      </c>
      <c r="F13" s="16">
        <f>VLOOKUP(D13,Metals,5,FALSE)*C13+VLOOKUP(E13,Metals,5,FALSE)*(1-C13)</f>
        <v>8.8975000000000009</v>
      </c>
      <c r="G13" s="2"/>
      <c r="H13" s="14"/>
    </row>
    <row r="14" spans="2:9" x14ac:dyDescent="0.2">
      <c r="B14" t="s">
        <v>19</v>
      </c>
      <c r="C14" s="40">
        <v>1</v>
      </c>
      <c r="D14" t="s">
        <v>19</v>
      </c>
      <c r="E14" s="40"/>
      <c r="F14" s="16">
        <v>8.93</v>
      </c>
      <c r="G14" s="12">
        <v>2.61</v>
      </c>
      <c r="H14" s="12">
        <f>IF(G14="","",G14/16)</f>
        <v>0.16312499999999999</v>
      </c>
      <c r="I14" t="s">
        <v>93</v>
      </c>
    </row>
    <row r="15" spans="2:9" x14ac:dyDescent="0.2">
      <c r="B15" t="s">
        <v>104</v>
      </c>
      <c r="C15" s="40">
        <f>9/10</f>
        <v>0.9</v>
      </c>
      <c r="D15" t="s">
        <v>22</v>
      </c>
      <c r="E15" s="40" t="s">
        <v>19</v>
      </c>
      <c r="F15" s="16">
        <f>VLOOKUP(D15,Metals,5,FALSE)*C15+VLOOKUP(E15,Metals,5,FALSE)*(1-C15)</f>
        <v>10.334</v>
      </c>
      <c r="G15" s="2"/>
      <c r="H15" s="14"/>
    </row>
    <row r="16" spans="2:9" x14ac:dyDescent="0.2">
      <c r="B16" t="s">
        <v>107</v>
      </c>
      <c r="C16" s="40">
        <f>22/24</f>
        <v>0.91666666666666663</v>
      </c>
      <c r="D16" t="s">
        <v>22</v>
      </c>
      <c r="E16" s="40" t="s">
        <v>19</v>
      </c>
      <c r="F16" s="16">
        <f>VLOOKUP(D16,Metals,5,FALSE)*C16+VLOOKUP(E16,Metals,5,FALSE)*(1-C16)</f>
        <v>10.36</v>
      </c>
      <c r="G16" s="2"/>
      <c r="H16" s="14"/>
    </row>
    <row r="17" spans="2:9" x14ac:dyDescent="0.2">
      <c r="B17" t="s">
        <v>105</v>
      </c>
      <c r="C17" s="40">
        <v>0.92500000000000004</v>
      </c>
      <c r="D17" t="s">
        <v>22</v>
      </c>
      <c r="E17" s="40" t="s">
        <v>19</v>
      </c>
      <c r="F17" s="16">
        <f>VLOOKUP(D17,Metals,5,FALSE)*C17+VLOOKUP(E17,Metals,5,FALSE)*(1-C17)</f>
        <v>10.373000000000001</v>
      </c>
      <c r="G17" s="2"/>
      <c r="H17" s="14"/>
    </row>
    <row r="18" spans="2:9" x14ac:dyDescent="0.2">
      <c r="B18" t="s">
        <v>22</v>
      </c>
      <c r="C18" s="40">
        <v>1</v>
      </c>
      <c r="D18" t="s">
        <v>22</v>
      </c>
      <c r="E18" s="40"/>
      <c r="F18" s="16">
        <v>10.49</v>
      </c>
      <c r="G18" s="2"/>
      <c r="H18" s="14">
        <v>17.12</v>
      </c>
      <c r="I18" t="s">
        <v>99</v>
      </c>
    </row>
    <row r="19" spans="2:9" x14ac:dyDescent="0.2">
      <c r="B19" t="s">
        <v>74</v>
      </c>
      <c r="C19" s="40">
        <v>1</v>
      </c>
      <c r="D19" t="s">
        <v>74</v>
      </c>
      <c r="E19" s="40"/>
      <c r="F19" s="16">
        <v>11.35</v>
      </c>
      <c r="G19" s="2"/>
      <c r="H19" s="14"/>
      <c r="I19" t="s">
        <v>100</v>
      </c>
    </row>
    <row r="20" spans="2:9" x14ac:dyDescent="0.2">
      <c r="B20" t="s">
        <v>106</v>
      </c>
      <c r="C20" s="40">
        <f>22/24</f>
        <v>0.91666666666666663</v>
      </c>
      <c r="D20" t="s">
        <v>26</v>
      </c>
      <c r="E20" s="40" t="s">
        <v>19</v>
      </c>
      <c r="F20" s="16">
        <f>VLOOKUP(D20,Metals,5,FALSE)*C20+VLOOKUP(E20,Metals,5,FALSE)*(1-C20)</f>
        <v>18.454166666666669</v>
      </c>
      <c r="G20" s="2"/>
      <c r="H20" s="14"/>
    </row>
    <row r="21" spans="2:9" x14ac:dyDescent="0.2">
      <c r="B21" t="s">
        <v>26</v>
      </c>
      <c r="C21" s="40">
        <v>1</v>
      </c>
      <c r="D21" t="s">
        <v>26</v>
      </c>
      <c r="E21" s="40"/>
      <c r="F21" s="16">
        <v>19.32</v>
      </c>
      <c r="G21" s="2"/>
      <c r="H21" s="14">
        <v>80</v>
      </c>
      <c r="I21" t="s">
        <v>98</v>
      </c>
    </row>
    <row r="22" spans="2:9" x14ac:dyDescent="0.2">
      <c r="B22" t="s">
        <v>75</v>
      </c>
      <c r="C22" s="40">
        <v>1</v>
      </c>
      <c r="D22" t="s">
        <v>75</v>
      </c>
      <c r="E22" s="40"/>
      <c r="F22" s="16">
        <v>19.600000000000001</v>
      </c>
      <c r="G22" s="2"/>
      <c r="H22" s="14"/>
      <c r="I22" t="s">
        <v>101</v>
      </c>
    </row>
    <row r="23" spans="2:9" x14ac:dyDescent="0.2">
      <c r="B23" t="s">
        <v>87</v>
      </c>
      <c r="C23" s="40">
        <v>1</v>
      </c>
      <c r="D23" t="s">
        <v>87</v>
      </c>
      <c r="E23" s="40"/>
      <c r="F23" s="16">
        <v>21.4</v>
      </c>
      <c r="G23" s="2"/>
      <c r="H23" s="14"/>
      <c r="I23" t="s">
        <v>103</v>
      </c>
    </row>
    <row r="24" spans="2:9" ht="14" customHeight="1" x14ac:dyDescent="0.2">
      <c r="C24" s="40"/>
      <c r="D24" s="40"/>
      <c r="E24" s="40"/>
      <c r="F24" s="16"/>
      <c r="G24" s="2"/>
      <c r="H24" s="14"/>
    </row>
    <row r="25" spans="2:9" x14ac:dyDescent="0.2">
      <c r="C25" s="40"/>
      <c r="D25" s="40"/>
      <c r="E25" s="40"/>
      <c r="F25" s="16"/>
      <c r="G25" s="2"/>
      <c r="H25" s="14"/>
    </row>
    <row r="26" spans="2:9" x14ac:dyDescent="0.2">
      <c r="C26" s="40"/>
      <c r="D26" s="40"/>
      <c r="E26" s="40"/>
      <c r="F26" s="16"/>
      <c r="G26" s="2"/>
      <c r="H26" s="14"/>
    </row>
    <row r="27" spans="2:9" x14ac:dyDescent="0.2">
      <c r="C27" s="40"/>
      <c r="D27" s="40"/>
      <c r="E27" s="40"/>
      <c r="F27" s="16"/>
      <c r="G27" s="2"/>
      <c r="H27" s="14"/>
    </row>
    <row r="28" spans="2:9" x14ac:dyDescent="0.2">
      <c r="C28" s="40"/>
      <c r="D28" s="40"/>
      <c r="E28" s="40"/>
      <c r="F28" s="16"/>
      <c r="G28" s="2"/>
      <c r="H28" s="14"/>
    </row>
    <row r="29" spans="2:9" x14ac:dyDescent="0.2">
      <c r="C29" s="40"/>
      <c r="D29" s="40"/>
      <c r="E29" s="40"/>
      <c r="F29" s="16"/>
      <c r="G29" s="2"/>
      <c r="H29" s="14"/>
    </row>
    <row r="30" spans="2:9" x14ac:dyDescent="0.2">
      <c r="C30" s="40"/>
      <c r="D30" s="40"/>
      <c r="E30" s="40"/>
      <c r="F30" s="16"/>
      <c r="G30" s="2"/>
      <c r="H30" s="14"/>
    </row>
    <row r="31" spans="2:9" x14ac:dyDescent="0.2">
      <c r="B31" s="2"/>
      <c r="F31" s="40"/>
    </row>
    <row r="32" spans="2:9" x14ac:dyDescent="0.2">
      <c r="B32" s="2"/>
    </row>
    <row r="33" spans="2:7" x14ac:dyDescent="0.2">
      <c r="B33" s="2">
        <v>31.103476799999999</v>
      </c>
      <c r="C33" s="2" t="s">
        <v>17</v>
      </c>
      <c r="D33" s="2"/>
      <c r="E33" s="2"/>
      <c r="G33" s="2"/>
    </row>
    <row r="34" spans="2:7" x14ac:dyDescent="0.2">
      <c r="B34" s="2">
        <f>GramsPerOz*16</f>
        <v>453.59236800000002</v>
      </c>
      <c r="C34" s="2" t="s">
        <v>21</v>
      </c>
      <c r="D34" s="2"/>
      <c r="E34" s="2"/>
      <c r="G34" s="2"/>
    </row>
    <row r="35" spans="2:7" x14ac:dyDescent="0.2">
      <c r="B35" s="2">
        <v>28.349523000000001</v>
      </c>
      <c r="C35" s="2" t="s">
        <v>29</v>
      </c>
      <c r="D35" s="2"/>
      <c r="E35" s="2"/>
      <c r="G3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Coins</vt:lpstr>
      <vt:lpstr>constants</vt:lpstr>
      <vt:lpstr>Compositions</vt:lpstr>
      <vt:lpstr>CopperWeight</vt:lpstr>
      <vt:lpstr>GoldWeight</vt:lpstr>
      <vt:lpstr>GramsPerOz</vt:lpstr>
      <vt:lpstr>GramsPerPound</vt:lpstr>
      <vt:lpstr>GramsPerTroyOz</vt:lpstr>
      <vt:lpstr>IronWeight</vt:lpstr>
      <vt:lpstr>LeadWeight</vt:lpstr>
      <vt:lpstr>ManganeseWeight</vt:lpstr>
      <vt:lpstr>Metals</vt:lpstr>
      <vt:lpstr>NickelWeight</vt:lpstr>
      <vt:lpstr>PlatinumWeight</vt:lpstr>
      <vt:lpstr>SilverWeight</vt:lpstr>
      <vt:lpstr>TinWeight</vt:lpstr>
      <vt:lpstr>TungstenWeight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2017-01-20T02:14:36Z</dcterms:created>
  <dcterms:modified xsi:type="dcterms:W3CDTF">2018-12-31T20:02:46Z</dcterms:modified>
</cp:coreProperties>
</file>