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9"/>
  <workbookPr/>
  <mc:AlternateContent xmlns:mc="http://schemas.openxmlformats.org/markup-compatibility/2006">
    <mc:Choice Requires="x15">
      <x15ac:absPath xmlns:x15ac="http://schemas.microsoft.com/office/spreadsheetml/2010/11/ac" url="/Users/virtual1/Documents/ My Documents/Hobbies/numismatics (coin and bill collecting/"/>
    </mc:Choice>
  </mc:AlternateContent>
  <xr:revisionPtr revIDLastSave="0" documentId="13_ncr:1_{24F18C4B-EED8-F245-8428-CFDB6FCF33F5}" xr6:coauthVersionLast="36" xr6:coauthVersionMax="36" xr10:uidLastSave="{00000000-0000-0000-0000-000000000000}"/>
  <bookViews>
    <workbookView xWindow="160" yWindow="800" windowWidth="47960" windowHeight="24660" tabRatio="500" xr2:uid="{00000000-000D-0000-FFFF-FFFF00000000}"/>
  </bookViews>
  <sheets>
    <sheet name="Coins" sheetId="1" r:id="rId1"/>
    <sheet name="constants" sheetId="2" r:id="rId2"/>
  </sheets>
  <definedNames>
    <definedName name="BrassWeight">constants!$F$14</definedName>
    <definedName name="Compositions">constants!$B$6:$B$28</definedName>
    <definedName name="CopperWeight">constants!$F$18</definedName>
    <definedName name="GoldWeight">constants!$F$26</definedName>
    <definedName name="GramsPerOz">constants!$B$39</definedName>
    <definedName name="GramsPerPound">constants!$B$38</definedName>
    <definedName name="GramsPerTroyOz">constants!$B$37</definedName>
    <definedName name="IronWeight">constants!$F$11</definedName>
    <definedName name="LeadWeight">constants!$F$23</definedName>
    <definedName name="ManganeseWeight">constants!$F$10</definedName>
    <definedName name="Metals">constants!$B$6:$H$34</definedName>
    <definedName name="NickelWeight">constants!$F$16</definedName>
    <definedName name="PlatinumWeight">constants!$F$28</definedName>
    <definedName name="SilverWeight">constants!$F$22</definedName>
    <definedName name="TinWeight">constants!$F$9</definedName>
    <definedName name="TungstenWeight">constants!$F$27</definedName>
  </definedNames>
  <calcPr calcId="18102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V55" i="1" l="1"/>
  <c r="F25" i="2"/>
  <c r="X27" i="1"/>
  <c r="Z27" i="1"/>
  <c r="C24" i="2"/>
  <c r="F24" i="2"/>
  <c r="O27" i="1"/>
  <c r="N27" i="1"/>
  <c r="P27" i="1"/>
  <c r="AD27" i="1"/>
  <c r="AT48" i="1"/>
  <c r="AS48" i="1"/>
  <c r="AR48" i="1"/>
  <c r="AO48" i="1"/>
  <c r="O48" i="1"/>
  <c r="AP48" i="1"/>
  <c r="Y48" i="1"/>
  <c r="X48" i="1"/>
  <c r="Z48" i="1"/>
  <c r="AL48" i="1"/>
  <c r="AM48" i="1"/>
  <c r="AI48" i="1"/>
  <c r="AJ48" i="1"/>
  <c r="AF48" i="1"/>
  <c r="AG48" i="1"/>
  <c r="N48" i="1"/>
  <c r="P48" i="1"/>
  <c r="AD48" i="1"/>
  <c r="AB48" i="1"/>
  <c r="AT47" i="1"/>
  <c r="AS47" i="1"/>
  <c r="AR47" i="1"/>
  <c r="AO47" i="1"/>
  <c r="O47" i="1"/>
  <c r="AP47" i="1"/>
  <c r="Y47" i="1"/>
  <c r="X47" i="1"/>
  <c r="Z47" i="1"/>
  <c r="AL47" i="1"/>
  <c r="AM47" i="1"/>
  <c r="AI47" i="1"/>
  <c r="AJ47" i="1"/>
  <c r="AF47" i="1"/>
  <c r="AG47" i="1"/>
  <c r="N47" i="1"/>
  <c r="P47" i="1"/>
  <c r="AD47" i="1"/>
  <c r="AB47" i="1"/>
  <c r="AT46" i="1"/>
  <c r="AS46" i="1"/>
  <c r="AR46" i="1"/>
  <c r="AO46" i="1"/>
  <c r="O46" i="1"/>
  <c r="AP46" i="1"/>
  <c r="Y46" i="1"/>
  <c r="X46" i="1"/>
  <c r="Z46" i="1"/>
  <c r="AL46" i="1"/>
  <c r="AM46" i="1"/>
  <c r="AI46" i="1"/>
  <c r="AJ46" i="1"/>
  <c r="AF46" i="1"/>
  <c r="AG46" i="1"/>
  <c r="N46" i="1"/>
  <c r="P46" i="1"/>
  <c r="AD46" i="1"/>
  <c r="AB46" i="1"/>
  <c r="AT45" i="1"/>
  <c r="AS45" i="1"/>
  <c r="AR45" i="1"/>
  <c r="AO45" i="1"/>
  <c r="O45" i="1"/>
  <c r="AP45" i="1"/>
  <c r="Y45" i="1"/>
  <c r="X45" i="1"/>
  <c r="Z45" i="1"/>
  <c r="AL45" i="1"/>
  <c r="AM45" i="1"/>
  <c r="AI45" i="1"/>
  <c r="AJ45" i="1"/>
  <c r="AF45" i="1"/>
  <c r="AG45" i="1"/>
  <c r="N45" i="1"/>
  <c r="P45" i="1"/>
  <c r="AD45" i="1"/>
  <c r="AB45" i="1"/>
  <c r="AT44" i="1"/>
  <c r="AS44" i="1"/>
  <c r="AR44" i="1"/>
  <c r="AO44" i="1"/>
  <c r="O44" i="1"/>
  <c r="AP44" i="1"/>
  <c r="Y44" i="1"/>
  <c r="X44" i="1"/>
  <c r="Z44" i="1"/>
  <c r="AL44" i="1"/>
  <c r="AM44" i="1"/>
  <c r="AI44" i="1"/>
  <c r="AJ44" i="1"/>
  <c r="AF44" i="1"/>
  <c r="AG44" i="1"/>
  <c r="N44" i="1"/>
  <c r="P44" i="1"/>
  <c r="AD44" i="1"/>
  <c r="AB44" i="1"/>
  <c r="AT43" i="1"/>
  <c r="AS43" i="1"/>
  <c r="AR43" i="1"/>
  <c r="AO43" i="1"/>
  <c r="O43" i="1"/>
  <c r="AP43" i="1"/>
  <c r="Y43" i="1"/>
  <c r="X43" i="1"/>
  <c r="Z43" i="1"/>
  <c r="AL43" i="1"/>
  <c r="AM43" i="1"/>
  <c r="AI43" i="1"/>
  <c r="AJ43" i="1"/>
  <c r="AF43" i="1"/>
  <c r="AG43" i="1"/>
  <c r="N43" i="1"/>
  <c r="P43" i="1"/>
  <c r="AD43" i="1"/>
  <c r="AB43" i="1"/>
  <c r="AT42" i="1"/>
  <c r="AS42" i="1"/>
  <c r="AR42" i="1"/>
  <c r="AO42" i="1"/>
  <c r="O42" i="1"/>
  <c r="AP42" i="1"/>
  <c r="Y42" i="1"/>
  <c r="X42" i="1"/>
  <c r="Z42" i="1"/>
  <c r="AL42" i="1"/>
  <c r="AM42" i="1"/>
  <c r="AI42" i="1"/>
  <c r="AJ42" i="1"/>
  <c r="AF42" i="1"/>
  <c r="AG42" i="1"/>
  <c r="N42" i="1"/>
  <c r="P42" i="1"/>
  <c r="AD42" i="1"/>
  <c r="AB42" i="1"/>
  <c r="AT41" i="1"/>
  <c r="AS41" i="1"/>
  <c r="AR41" i="1"/>
  <c r="AO41" i="1"/>
  <c r="O41" i="1"/>
  <c r="AP41" i="1"/>
  <c r="Y41" i="1"/>
  <c r="X41" i="1"/>
  <c r="Z41" i="1"/>
  <c r="AL41" i="1"/>
  <c r="AM41" i="1"/>
  <c r="AI41" i="1"/>
  <c r="AJ41" i="1"/>
  <c r="AF41" i="1"/>
  <c r="AG41" i="1"/>
  <c r="N41" i="1"/>
  <c r="P41" i="1"/>
  <c r="AD41" i="1"/>
  <c r="AB41" i="1"/>
  <c r="AT40" i="1"/>
  <c r="AS40" i="1"/>
  <c r="AR40" i="1"/>
  <c r="AO40" i="1"/>
  <c r="O40" i="1"/>
  <c r="AP40" i="1"/>
  <c r="Y40" i="1"/>
  <c r="X40" i="1"/>
  <c r="Z40" i="1"/>
  <c r="AL40" i="1"/>
  <c r="AM40" i="1"/>
  <c r="AI40" i="1"/>
  <c r="AJ40" i="1"/>
  <c r="AF40" i="1"/>
  <c r="AG40" i="1"/>
  <c r="N40" i="1"/>
  <c r="P40" i="1"/>
  <c r="AD40" i="1"/>
  <c r="AB40" i="1"/>
  <c r="AT39" i="1"/>
  <c r="AS39" i="1"/>
  <c r="AR39" i="1"/>
  <c r="AO39" i="1"/>
  <c r="O39" i="1"/>
  <c r="AP39" i="1"/>
  <c r="Y39" i="1"/>
  <c r="X39" i="1"/>
  <c r="Z39" i="1"/>
  <c r="AL39" i="1"/>
  <c r="AM39" i="1"/>
  <c r="AI39" i="1"/>
  <c r="AJ39" i="1"/>
  <c r="AF39" i="1"/>
  <c r="AG39" i="1"/>
  <c r="N39" i="1"/>
  <c r="P39" i="1"/>
  <c r="AD39" i="1"/>
  <c r="AB39" i="1"/>
  <c r="AT38" i="1"/>
  <c r="AS38" i="1"/>
  <c r="AR38" i="1"/>
  <c r="AO38" i="1"/>
  <c r="O38" i="1"/>
  <c r="AP38" i="1"/>
  <c r="Y38" i="1"/>
  <c r="X38" i="1"/>
  <c r="Z38" i="1"/>
  <c r="AL38" i="1"/>
  <c r="AM38" i="1"/>
  <c r="AI38" i="1"/>
  <c r="AJ38" i="1"/>
  <c r="AF38" i="1"/>
  <c r="AG38" i="1"/>
  <c r="N38" i="1"/>
  <c r="P38" i="1"/>
  <c r="AD38" i="1"/>
  <c r="AB38" i="1"/>
  <c r="AT37" i="1"/>
  <c r="AS37" i="1"/>
  <c r="AR37" i="1"/>
  <c r="AO37" i="1"/>
  <c r="O37" i="1"/>
  <c r="AP37" i="1"/>
  <c r="Y37" i="1"/>
  <c r="X37" i="1"/>
  <c r="Z37" i="1"/>
  <c r="AL37" i="1"/>
  <c r="AM37" i="1"/>
  <c r="AI37" i="1"/>
  <c r="AJ37" i="1"/>
  <c r="AF37" i="1"/>
  <c r="AG37" i="1"/>
  <c r="N37" i="1"/>
  <c r="P37" i="1"/>
  <c r="AD37" i="1"/>
  <c r="AB37" i="1"/>
  <c r="AT36" i="1"/>
  <c r="AS36" i="1"/>
  <c r="AR36" i="1"/>
  <c r="AO36" i="1"/>
  <c r="O36" i="1"/>
  <c r="AP36" i="1"/>
  <c r="Y36" i="1"/>
  <c r="X36" i="1"/>
  <c r="Z36" i="1"/>
  <c r="AL36" i="1"/>
  <c r="AM36" i="1"/>
  <c r="AI36" i="1"/>
  <c r="AJ36" i="1"/>
  <c r="AF36" i="1"/>
  <c r="AG36" i="1"/>
  <c r="N36" i="1"/>
  <c r="P36" i="1"/>
  <c r="AD36" i="1"/>
  <c r="AB36" i="1"/>
  <c r="AT35" i="1"/>
  <c r="AS35" i="1"/>
  <c r="AR35" i="1"/>
  <c r="AO35" i="1"/>
  <c r="O35" i="1"/>
  <c r="AP35" i="1"/>
  <c r="Y35" i="1"/>
  <c r="X35" i="1"/>
  <c r="Z35" i="1"/>
  <c r="AL35" i="1"/>
  <c r="AM35" i="1"/>
  <c r="AI35" i="1"/>
  <c r="AJ35" i="1"/>
  <c r="AF35" i="1"/>
  <c r="AG35" i="1"/>
  <c r="N35" i="1"/>
  <c r="P35" i="1"/>
  <c r="AD35" i="1"/>
  <c r="AB35" i="1"/>
  <c r="AT34" i="1"/>
  <c r="AS34" i="1"/>
  <c r="AR34" i="1"/>
  <c r="AO34" i="1"/>
  <c r="O34" i="1"/>
  <c r="AP34" i="1"/>
  <c r="Y34" i="1"/>
  <c r="X34" i="1"/>
  <c r="Z34" i="1"/>
  <c r="AL34" i="1"/>
  <c r="AM34" i="1"/>
  <c r="AI34" i="1"/>
  <c r="AJ34" i="1"/>
  <c r="AF34" i="1"/>
  <c r="AG34" i="1"/>
  <c r="N34" i="1"/>
  <c r="P34" i="1"/>
  <c r="AD34" i="1"/>
  <c r="AB34" i="1"/>
  <c r="AT33" i="1"/>
  <c r="AS33" i="1"/>
  <c r="AR33" i="1"/>
  <c r="AO33" i="1"/>
  <c r="O33" i="1"/>
  <c r="AP33" i="1"/>
  <c r="Y33" i="1"/>
  <c r="X33" i="1"/>
  <c r="Z33" i="1"/>
  <c r="AL33" i="1"/>
  <c r="AM33" i="1"/>
  <c r="AI33" i="1"/>
  <c r="AJ33" i="1"/>
  <c r="AF33" i="1"/>
  <c r="AG33" i="1"/>
  <c r="N33" i="1"/>
  <c r="P33" i="1"/>
  <c r="AD33" i="1"/>
  <c r="AB33" i="1"/>
  <c r="AT32" i="1"/>
  <c r="AS32" i="1"/>
  <c r="AR32" i="1"/>
  <c r="AO32" i="1"/>
  <c r="O32" i="1"/>
  <c r="AP32" i="1"/>
  <c r="Y32" i="1"/>
  <c r="X32" i="1"/>
  <c r="Z32" i="1"/>
  <c r="AL32" i="1"/>
  <c r="AM32" i="1"/>
  <c r="AI32" i="1"/>
  <c r="AJ32" i="1"/>
  <c r="AF32" i="1"/>
  <c r="AG32" i="1"/>
  <c r="N32" i="1"/>
  <c r="P32" i="1"/>
  <c r="AD32" i="1"/>
  <c r="AB32" i="1"/>
  <c r="AT31" i="1"/>
  <c r="AS31" i="1"/>
  <c r="AR31" i="1"/>
  <c r="AO31" i="1"/>
  <c r="O31" i="1"/>
  <c r="AP31" i="1"/>
  <c r="Y31" i="1"/>
  <c r="X31" i="1"/>
  <c r="Z31" i="1"/>
  <c r="AL31" i="1"/>
  <c r="AM31" i="1"/>
  <c r="AI31" i="1"/>
  <c r="AJ31" i="1"/>
  <c r="AF31" i="1"/>
  <c r="AG31" i="1"/>
  <c r="N31" i="1"/>
  <c r="P31" i="1"/>
  <c r="AD31" i="1"/>
  <c r="AB31" i="1"/>
  <c r="AT30" i="1"/>
  <c r="AS30" i="1"/>
  <c r="AR30" i="1"/>
  <c r="AO30" i="1"/>
  <c r="O30" i="1"/>
  <c r="AP30" i="1"/>
  <c r="Y30" i="1"/>
  <c r="X30" i="1"/>
  <c r="Z30" i="1"/>
  <c r="AL30" i="1"/>
  <c r="AM30" i="1"/>
  <c r="AI30" i="1"/>
  <c r="AJ30" i="1"/>
  <c r="AF30" i="1"/>
  <c r="AG30" i="1"/>
  <c r="N30" i="1"/>
  <c r="P30" i="1"/>
  <c r="AD30" i="1"/>
  <c r="AB30" i="1"/>
  <c r="AT29" i="1"/>
  <c r="AS29" i="1"/>
  <c r="AR29" i="1"/>
  <c r="AO29" i="1"/>
  <c r="O29" i="1"/>
  <c r="AP29" i="1"/>
  <c r="Y29" i="1"/>
  <c r="X29" i="1"/>
  <c r="Z29" i="1"/>
  <c r="AL29" i="1"/>
  <c r="AM29" i="1"/>
  <c r="AI29" i="1"/>
  <c r="AJ29" i="1"/>
  <c r="AF29" i="1"/>
  <c r="AG29" i="1"/>
  <c r="N29" i="1"/>
  <c r="P29" i="1"/>
  <c r="AD29" i="1"/>
  <c r="AB29" i="1"/>
  <c r="AT28" i="1"/>
  <c r="AS28" i="1"/>
  <c r="AR28" i="1"/>
  <c r="AO28" i="1"/>
  <c r="O28" i="1"/>
  <c r="AP28" i="1"/>
  <c r="Y28" i="1"/>
  <c r="X28" i="1"/>
  <c r="Z28" i="1"/>
  <c r="AL28" i="1"/>
  <c r="AM28" i="1"/>
  <c r="AI28" i="1"/>
  <c r="AJ28" i="1"/>
  <c r="AF28" i="1"/>
  <c r="AG28" i="1"/>
  <c r="N28" i="1"/>
  <c r="P28" i="1"/>
  <c r="AD28" i="1"/>
  <c r="AB28" i="1"/>
  <c r="Z26" i="1"/>
  <c r="X25" i="1"/>
  <c r="Z25" i="1"/>
  <c r="Z24" i="1"/>
  <c r="Z23" i="1"/>
  <c r="Z22" i="1"/>
  <c r="Z21" i="1"/>
  <c r="Z20" i="1"/>
  <c r="Y19" i="1"/>
  <c r="Z19" i="1"/>
  <c r="Y18" i="1"/>
  <c r="Z18" i="1"/>
  <c r="Y17" i="1"/>
  <c r="Z17" i="1"/>
  <c r="Z16" i="1"/>
  <c r="Z15" i="1"/>
  <c r="Z14" i="1"/>
  <c r="Z13" i="1"/>
  <c r="Z12" i="1"/>
  <c r="Z11" i="1"/>
  <c r="Z10" i="1"/>
  <c r="Z9" i="1"/>
  <c r="X26" i="1"/>
  <c r="X24" i="1"/>
  <c r="X23" i="1"/>
  <c r="X22" i="1"/>
  <c r="X21" i="1"/>
  <c r="X20" i="1"/>
  <c r="X19" i="1"/>
  <c r="X18" i="1"/>
  <c r="X17" i="1"/>
  <c r="X16" i="1"/>
  <c r="X15" i="1"/>
  <c r="X14" i="1"/>
  <c r="X13" i="1"/>
  <c r="X12" i="1"/>
  <c r="X11" i="1"/>
  <c r="X10" i="1"/>
  <c r="X9" i="1"/>
  <c r="Y27" i="1"/>
  <c r="F14" i="2"/>
  <c r="O19" i="1"/>
  <c r="P19" i="1"/>
  <c r="AD19" i="1"/>
  <c r="C19" i="2"/>
  <c r="F19" i="2"/>
  <c r="O18" i="1"/>
  <c r="P18" i="1"/>
  <c r="AD18" i="1"/>
  <c r="O17" i="1"/>
  <c r="P17" i="1"/>
  <c r="AD17" i="1"/>
  <c r="O26" i="1"/>
  <c r="P26" i="1"/>
  <c r="Y26" i="1"/>
  <c r="AD26" i="1"/>
  <c r="O25" i="1"/>
  <c r="P25" i="1"/>
  <c r="Y25" i="1"/>
  <c r="AD25" i="1"/>
  <c r="O24" i="1"/>
  <c r="N24" i="1"/>
  <c r="P24" i="1"/>
  <c r="Y24" i="1"/>
  <c r="AD24" i="1"/>
  <c r="F21" i="2"/>
  <c r="O23" i="1"/>
  <c r="N23" i="1"/>
  <c r="P23" i="1"/>
  <c r="Y23" i="1"/>
  <c r="AD23" i="1"/>
  <c r="C17" i="2"/>
  <c r="F17" i="2"/>
  <c r="O22" i="1"/>
  <c r="N22" i="1"/>
  <c r="P22" i="1"/>
  <c r="Y22" i="1"/>
  <c r="AD22" i="1"/>
  <c r="O21" i="1"/>
  <c r="P21" i="1"/>
  <c r="Y21" i="1"/>
  <c r="AD21" i="1"/>
  <c r="O20" i="1"/>
  <c r="N20" i="1"/>
  <c r="P20" i="1"/>
  <c r="Y20" i="1"/>
  <c r="AD20" i="1"/>
  <c r="F10" i="2"/>
  <c r="O16" i="1"/>
  <c r="N16" i="1"/>
  <c r="P16" i="1"/>
  <c r="Y16" i="1"/>
  <c r="AD16" i="1"/>
  <c r="O15" i="1"/>
  <c r="N15" i="1"/>
  <c r="P15" i="1"/>
  <c r="Y15" i="1"/>
  <c r="AD15" i="1"/>
  <c r="O14" i="1"/>
  <c r="N14" i="1"/>
  <c r="P14" i="1"/>
  <c r="Y14" i="1"/>
  <c r="AD14" i="1"/>
  <c r="O13" i="1"/>
  <c r="N13" i="1"/>
  <c r="P13" i="1"/>
  <c r="Y13" i="1"/>
  <c r="AD13" i="1"/>
  <c r="O12" i="1"/>
  <c r="N12" i="1"/>
  <c r="P12" i="1"/>
  <c r="Y12" i="1"/>
  <c r="AD12" i="1"/>
  <c r="O11" i="1"/>
  <c r="N11" i="1"/>
  <c r="P11" i="1"/>
  <c r="Y11" i="1"/>
  <c r="AD11" i="1"/>
  <c r="O10" i="1"/>
  <c r="N10" i="1"/>
  <c r="P10" i="1"/>
  <c r="Y10" i="1"/>
  <c r="AD10" i="1"/>
  <c r="O9" i="1"/>
  <c r="N9" i="1"/>
  <c r="P9" i="1"/>
  <c r="Y9" i="1"/>
  <c r="AD9" i="1"/>
  <c r="AF16" i="1"/>
  <c r="F6" i="2"/>
  <c r="F13" i="2"/>
  <c r="AI19" i="1"/>
  <c r="AJ19" i="1"/>
  <c r="V17" i="1"/>
  <c r="AI24" i="1"/>
  <c r="AJ24" i="1"/>
  <c r="AI21" i="1"/>
  <c r="AJ21" i="1"/>
  <c r="AI16" i="1"/>
  <c r="AJ16" i="1"/>
  <c r="AI15" i="1"/>
  <c r="AJ15" i="1"/>
  <c r="AI14" i="1"/>
  <c r="AJ14" i="1"/>
  <c r="AI13" i="1"/>
  <c r="AJ13" i="1"/>
  <c r="AI12" i="1"/>
  <c r="AJ12" i="1"/>
  <c r="AI11" i="1"/>
  <c r="AJ11" i="1"/>
  <c r="AI10" i="1"/>
  <c r="AJ10" i="1"/>
  <c r="AI9" i="1"/>
  <c r="AJ9" i="1"/>
  <c r="AF19" i="1"/>
  <c r="AG19" i="1"/>
  <c r="AF24" i="1"/>
  <c r="AG24" i="1"/>
  <c r="AF21" i="1"/>
  <c r="AG21" i="1"/>
  <c r="AG16" i="1"/>
  <c r="AF15" i="1"/>
  <c r="AG15" i="1"/>
  <c r="AF14" i="1"/>
  <c r="AG14" i="1"/>
  <c r="AF13" i="1"/>
  <c r="AG13" i="1"/>
  <c r="AF12" i="1"/>
  <c r="AG12" i="1"/>
  <c r="AF11" i="1"/>
  <c r="AG11" i="1"/>
  <c r="AF10" i="1"/>
  <c r="AG10" i="1"/>
  <c r="AF9" i="1"/>
  <c r="AG9" i="1"/>
  <c r="AB19" i="1"/>
  <c r="AB18" i="1"/>
  <c r="AB17" i="1"/>
  <c r="AB27" i="1"/>
  <c r="AB26" i="1"/>
  <c r="AB25" i="1"/>
  <c r="AB24" i="1"/>
  <c r="AB23" i="1"/>
  <c r="AB22" i="1"/>
  <c r="AB21" i="1"/>
  <c r="AB20" i="1"/>
  <c r="AB16" i="1"/>
  <c r="AB15" i="1"/>
  <c r="AB14" i="1"/>
  <c r="AB13" i="1"/>
  <c r="AB12" i="1"/>
  <c r="AB11" i="1"/>
  <c r="AB10" i="1"/>
  <c r="AB9" i="1"/>
  <c r="AO24" i="1"/>
  <c r="AP24" i="1"/>
  <c r="AO20" i="1"/>
  <c r="AO16" i="1"/>
  <c r="AP16" i="1"/>
  <c r="AO14" i="1"/>
  <c r="AP14" i="1"/>
  <c r="AO19" i="1"/>
  <c r="AP19" i="1"/>
  <c r="AO18" i="1"/>
  <c r="AO17" i="1"/>
  <c r="AO27" i="1"/>
  <c r="AO26" i="1"/>
  <c r="AO25" i="1"/>
  <c r="AO23" i="1"/>
  <c r="AO22" i="1"/>
  <c r="AO21" i="1"/>
  <c r="AP21" i="1"/>
  <c r="AO15" i="1"/>
  <c r="AP15" i="1"/>
  <c r="AO13" i="1"/>
  <c r="AP13" i="1"/>
  <c r="AO12" i="1"/>
  <c r="AP12" i="1"/>
  <c r="AO11" i="1"/>
  <c r="AP11" i="1"/>
  <c r="AO10" i="1"/>
  <c r="AP10" i="1"/>
  <c r="AO9" i="1"/>
  <c r="AP9" i="1"/>
  <c r="AL19" i="1"/>
  <c r="AM19" i="1"/>
  <c r="AL18" i="1"/>
  <c r="AL17" i="1"/>
  <c r="AL27" i="1"/>
  <c r="AL26" i="1"/>
  <c r="AL25" i="1"/>
  <c r="AL24" i="1"/>
  <c r="AM24" i="1"/>
  <c r="AL23" i="1"/>
  <c r="AL22" i="1"/>
  <c r="AL21" i="1"/>
  <c r="AM21" i="1"/>
  <c r="AL20" i="1"/>
  <c r="AL16" i="1"/>
  <c r="AM16" i="1"/>
  <c r="AL15" i="1"/>
  <c r="AM15" i="1"/>
  <c r="AL14" i="1"/>
  <c r="AM14" i="1"/>
  <c r="AL13" i="1"/>
  <c r="AM13" i="1"/>
  <c r="AL12" i="1"/>
  <c r="AM12" i="1"/>
  <c r="AL11" i="1"/>
  <c r="AM11" i="1"/>
  <c r="AL10" i="1"/>
  <c r="AM10" i="1"/>
  <c r="AL9" i="1"/>
  <c r="AM9" i="1"/>
  <c r="C20" i="2"/>
  <c r="AT19" i="1"/>
  <c r="AS19" i="1"/>
  <c r="H18" i="2"/>
  <c r="AR19" i="1"/>
  <c r="AT18" i="1"/>
  <c r="AS18" i="1"/>
  <c r="AR18" i="1"/>
  <c r="AT17" i="1"/>
  <c r="AS17" i="1"/>
  <c r="AR17" i="1"/>
  <c r="AT27" i="1"/>
  <c r="AS27" i="1"/>
  <c r="AR27" i="1"/>
  <c r="AT26" i="1"/>
  <c r="AS26" i="1"/>
  <c r="AR26" i="1"/>
  <c r="AT25" i="1"/>
  <c r="AS25" i="1"/>
  <c r="AR25" i="1"/>
  <c r="AT24" i="1"/>
  <c r="AS24" i="1"/>
  <c r="AR24" i="1"/>
  <c r="AT23" i="1"/>
  <c r="AS23" i="1"/>
  <c r="AR23" i="1"/>
  <c r="AT22" i="1"/>
  <c r="AS22" i="1"/>
  <c r="AR22" i="1"/>
  <c r="AT21" i="1"/>
  <c r="AS21" i="1"/>
  <c r="AR21" i="1"/>
  <c r="AT20" i="1"/>
  <c r="AS20" i="1"/>
  <c r="AR20" i="1"/>
  <c r="AT16" i="1"/>
  <c r="AS16" i="1"/>
  <c r="AR16" i="1"/>
  <c r="AT15" i="1"/>
  <c r="AS15" i="1"/>
  <c r="AR15" i="1"/>
  <c r="AT14" i="1"/>
  <c r="AS14" i="1"/>
  <c r="AR14" i="1"/>
  <c r="AT13" i="1"/>
  <c r="AS13" i="1"/>
  <c r="AR13" i="1"/>
  <c r="AT12" i="1"/>
  <c r="AS12" i="1"/>
  <c r="AR12" i="1"/>
  <c r="AT11" i="1"/>
  <c r="AS11" i="1"/>
  <c r="AR11" i="1"/>
  <c r="AT10" i="1"/>
  <c r="AS10" i="1"/>
  <c r="AR10" i="1"/>
  <c r="AT9" i="1"/>
  <c r="AS9" i="1"/>
  <c r="AR9" i="1"/>
  <c r="B38" i="2"/>
  <c r="F15" i="2"/>
  <c r="AI18" i="1"/>
  <c r="AJ18" i="1"/>
  <c r="AI17" i="1"/>
  <c r="AJ17" i="1"/>
  <c r="AI27" i="1"/>
  <c r="AJ27" i="1"/>
  <c r="AI26" i="1"/>
  <c r="AJ26" i="1"/>
  <c r="AI25" i="1"/>
  <c r="AJ25" i="1"/>
  <c r="AI23" i="1"/>
  <c r="AJ23" i="1"/>
  <c r="AI20" i="1"/>
  <c r="AJ20" i="1"/>
  <c r="AF18" i="1"/>
  <c r="AG18" i="1"/>
  <c r="AF17" i="1"/>
  <c r="AG17" i="1"/>
  <c r="AF27" i="1"/>
  <c r="AG27" i="1"/>
  <c r="AF26" i="1"/>
  <c r="AG26" i="1"/>
  <c r="AF25" i="1"/>
  <c r="AG25" i="1"/>
  <c r="AF23" i="1"/>
  <c r="AG23" i="1"/>
  <c r="AF20" i="1"/>
  <c r="AG20" i="1"/>
  <c r="AP20" i="1"/>
  <c r="AP18" i="1"/>
  <c r="AP17" i="1"/>
  <c r="AP27" i="1"/>
  <c r="AP26" i="1"/>
  <c r="AP25" i="1"/>
  <c r="AP23" i="1"/>
  <c r="AM18" i="1"/>
  <c r="AM17" i="1"/>
  <c r="AM27" i="1"/>
  <c r="AM26" i="1"/>
  <c r="AM25" i="1"/>
  <c r="AM23" i="1"/>
  <c r="AM20" i="1"/>
  <c r="F20" i="2"/>
  <c r="AM22" i="1"/>
  <c r="AP22" i="1"/>
  <c r="AF22" i="1"/>
  <c r="AG22" i="1"/>
  <c r="AI22" i="1"/>
  <c r="AJ22" i="1"/>
</calcChain>
</file>

<file path=xl/sharedStrings.xml><?xml version="1.0" encoding="utf-8"?>
<sst xmlns="http://schemas.openxmlformats.org/spreadsheetml/2006/main" count="328" uniqueCount="195">
  <si>
    <t>china</t>
  </si>
  <si>
    <t>10 yuan</t>
  </si>
  <si>
    <t>pandas</t>
  </si>
  <si>
    <t>unicorn</t>
  </si>
  <si>
    <t>canada</t>
  </si>
  <si>
    <t>5 dollars</t>
  </si>
  <si>
    <t>e=mc2</t>
  </si>
  <si>
    <t>mm3</t>
  </si>
  <si>
    <t>weight</t>
  </si>
  <si>
    <t>grams</t>
  </si>
  <si>
    <t>mm</t>
  </si>
  <si>
    <t>lip</t>
  </si>
  <si>
    <t>mm2</t>
  </si>
  <si>
    <t>area</t>
  </si>
  <si>
    <t>volume</t>
  </si>
  <si>
    <t>error</t>
  </si>
  <si>
    <t>grams per troy ounce</t>
  </si>
  <si>
    <t>troy oz</t>
  </si>
  <si>
    <t>copper</t>
  </si>
  <si>
    <t>dollars</t>
  </si>
  <si>
    <t>grams per pound</t>
  </si>
  <si>
    <t>silver</t>
  </si>
  <si>
    <t>water</t>
  </si>
  <si>
    <t>gold</t>
  </si>
  <si>
    <t>Metal</t>
  </si>
  <si>
    <t>grams per ounce</t>
  </si>
  <si>
    <t>$/LB</t>
  </si>
  <si>
    <t>$/oz</t>
  </si>
  <si>
    <t>melt</t>
  </si>
  <si>
    <t>private</t>
  </si>
  <si>
    <t>n/a</t>
  </si>
  <si>
    <t>dry</t>
  </si>
  <si>
    <t>depth</t>
  </si>
  <si>
    <t>sealand</t>
  </si>
  <si>
    <t>half dollar</t>
  </si>
  <si>
    <t>orca</t>
  </si>
  <si>
    <t>dollar</t>
  </si>
  <si>
    <t>usa</t>
  </si>
  <si>
    <t>is also the specific gravity (dry weight / water weight)</t>
  </si>
  <si>
    <t>peace</t>
  </si>
  <si>
    <t>st liberty</t>
  </si>
  <si>
    <t>mintage</t>
  </si>
  <si>
    <t>australia</t>
  </si>
  <si>
    <t>100 dollars</t>
  </si>
  <si>
    <t>kangaroo</t>
  </si>
  <si>
    <t>tin</t>
  </si>
  <si>
    <t>manganese</t>
  </si>
  <si>
    <t>1 dollar</t>
  </si>
  <si>
    <t>morgan</t>
  </si>
  <si>
    <t>kookaburra</t>
  </si>
  <si>
    <t>ten dollars</t>
  </si>
  <si>
    <t>heart within</t>
  </si>
  <si>
    <t>15 dollars</t>
  </si>
  <si>
    <t>calc</t>
  </si>
  <si>
    <t>thick</t>
  </si>
  <si>
    <t>Fineness</t>
  </si>
  <si>
    <t>nickel</t>
  </si>
  <si>
    <t>cupronickel</t>
  </si>
  <si>
    <t>copper85m</t>
  </si>
  <si>
    <t>S</t>
  </si>
  <si>
    <t>P</t>
  </si>
  <si>
    <t>fake</t>
  </si>
  <si>
    <t>25 dollars</t>
  </si>
  <si>
    <t>memorium</t>
  </si>
  <si>
    <t>SerNo</t>
  </si>
  <si>
    <t>lead</t>
  </si>
  <si>
    <t>tungsten</t>
  </si>
  <si>
    <t>wolf</t>
  </si>
  <si>
    <t>20 dollars</t>
  </si>
  <si>
    <t>mint</t>
  </si>
  <si>
    <t>theme</t>
  </si>
  <si>
    <t>fiat</t>
  </si>
  <si>
    <t>year</t>
  </si>
  <si>
    <t>issuer</t>
  </si>
  <si>
    <t>composition</t>
  </si>
  <si>
    <t>value</t>
  </si>
  <si>
    <t>platinum</t>
  </si>
  <si>
    <t>titanium</t>
  </si>
  <si>
    <t>Mn</t>
  </si>
  <si>
    <t>Ti</t>
  </si>
  <si>
    <t>iron</t>
  </si>
  <si>
    <t>Fe</t>
  </si>
  <si>
    <t>Cu</t>
  </si>
  <si>
    <t>zinc</t>
  </si>
  <si>
    <t>Zn</t>
  </si>
  <si>
    <t>Sn</t>
  </si>
  <si>
    <t>Ni</t>
  </si>
  <si>
    <t>Au</t>
  </si>
  <si>
    <t>Ag</t>
  </si>
  <si>
    <t>Pb</t>
  </si>
  <si>
    <t>W</t>
  </si>
  <si>
    <t>Symbol</t>
  </si>
  <si>
    <t>Pt</t>
  </si>
  <si>
    <t>silver90c</t>
  </si>
  <si>
    <t>silver925c</t>
  </si>
  <si>
    <t>gold22Kc</t>
  </si>
  <si>
    <t>silver22Kc</t>
  </si>
  <si>
    <t>Alloy</t>
  </si>
  <si>
    <t>Base</t>
  </si>
  <si>
    <t>japan</t>
  </si>
  <si>
    <t>1 yen</t>
  </si>
  <si>
    <t>dragon</t>
  </si>
  <si>
    <t>brass</t>
  </si>
  <si>
    <t>sp grav</t>
  </si>
  <si>
    <t>by comp</t>
  </si>
  <si>
    <t>specified</t>
  </si>
  <si>
    <t>dry oz</t>
  </si>
  <si>
    <t>by ww</t>
  </si>
  <si>
    <t>by size+wt</t>
  </si>
  <si>
    <t>verify</t>
  </si>
  <si>
    <t>bronze</t>
  </si>
  <si>
    <t>aluminum</t>
  </si>
  <si>
    <t>alloys vary</t>
  </si>
  <si>
    <t>steel</t>
  </si>
  <si>
    <t>same as iron</t>
  </si>
  <si>
    <t>Notes</t>
  </si>
  <si>
    <t>estimating</t>
  </si>
  <si>
    <t>ww</t>
  </si>
  <si>
    <t>measuremenets</t>
  </si>
  <si>
    <t>notes</t>
  </si>
  <si>
    <t>0.115oz, 0.119oz, 3.39gr, depending on scale</t>
  </si>
  <si>
    <t>diameter</t>
  </si>
  <si>
    <t>thickness</t>
  </si>
  <si>
    <t>by comp/sg</t>
  </si>
  <si>
    <t>struck by Golden State Mint</t>
  </si>
  <si>
    <t>tweak</t>
  </si>
  <si>
    <t>enter</t>
  </si>
  <si>
    <t>or enter</t>
  </si>
  <si>
    <t>select</t>
  </si>
  <si>
    <t>note</t>
  </si>
  <si>
    <t>How to measure "water weight":</t>
  </si>
  <si>
    <t>You will also need some dental floss and a jug of DISTILLED water.  Do not use tap, filtered, or bottled water.</t>
  </si>
  <si>
    <t>The coin and floss must both be dry, so dry them off before starting if they are wet from a previous measurement.</t>
  </si>
  <si>
    <t>the bottom or sides of the cup.</t>
  </si>
  <si>
    <t>Remove the coin from the scale, and place the cup on the scale.</t>
  </si>
  <si>
    <t>With the cup of water ready to go on the scale, zero the scale again.</t>
  </si>
  <si>
    <t>Zero the scale if it doesn't read 0 grams.  The button may be marked "Zero", "Tare", "T", or "Z".</t>
  </si>
  <si>
    <t>Rigidly hold the floss until the weight stabolizes on the scale, and record that in the table under "Water Weight Grams"</t>
  </si>
  <si>
    <t>Remove and gently dry the coin.  Also dry the floss if you have more coins to measure.</t>
  </si>
  <si>
    <t>You may continue using the same cup of water, just make sure to zero the scale before lowering in the next coin.</t>
  </si>
  <si>
    <t>Weigh the bare coin.  Record the weight in the table under  "Dry Weight Grams"</t>
  </si>
  <si>
    <t>Use a precision digital caliper to measure the diameter and thickness of the coins in mm.</t>
  </si>
  <si>
    <t>Specific Gravity (solid, grams/cm3)</t>
  </si>
  <si>
    <t>Cells in the Verify section turn yellow or red if they are out of expected tolerance.</t>
  </si>
  <si>
    <t>Small coins are difficult to accurately measure due to their small water weight.  This would include coins like 1/10oz gold coins, mercury dimes, etc</t>
  </si>
  <si>
    <t>When you are measuring the water weight, you are measuring the weight of the water displaced by the introduction of the coin into the cup.</t>
  </si>
  <si>
    <t>Thanks to how SI units were made, one cubic centimeter of water is exactly 1 gram.  This means measuring displacement of water also measures</t>
  </si>
  <si>
    <t>the volume of the object placed into the water. (as long as it is fully submerged, not touching the sides or bottom, and has no air pockets)</t>
  </si>
  <si>
    <t>This method only measures the AVERAGE density of the object.  Air pockets or different internal materials will be part of the average.</t>
  </si>
  <si>
    <t>This would for example mean a gold bar with a copper slug in it would show up as the average density of the two, based on the ratio of the two</t>
  </si>
  <si>
    <t>Fill the cup with only as much water as you need (see below).  If your scale overloads, you need to use less water, find a more</t>
  </si>
  <si>
    <t>Lastly you will need a small cup, as described below.  Hard thin plastic works best, I use a spray can lid.</t>
  </si>
  <si>
    <t>approparely shaped/sized cup, or get a scale with a higher capacity that still has high accuracy.</t>
  </si>
  <si>
    <t>The coin and floss must both start out dry, so dry them off before starting if they are wet from a previous measurement.</t>
  </si>
  <si>
    <t>Only the weight of the displaced water was registering on the scale.  You are supporting the remaining weight of the coin with the floss.</t>
  </si>
  <si>
    <t>You could weigh the floss instead of the coin, which woud provide better accuracy, but precision hanging scales are harder to find than table scales.</t>
  </si>
  <si>
    <t>light device that can be used to tie/hook/loop the floss on hanging over the edge of the scale.</t>
  </si>
  <si>
    <t>Place the device on the scale, and with the floss already tied to the coin, hang it from the device.</t>
  </si>
  <si>
    <t>Zero the scale.</t>
  </si>
  <si>
    <t>of the basin.</t>
  </si>
  <si>
    <t>The scale will read in negative numbers, as you are measuring how much you have lightened the coin instead of weighing down the water.</t>
  </si>
  <si>
    <t>Record the (positive) weight under "Water Weight Grams".</t>
  </si>
  <si>
    <t>This method can work because it only requires the scale to support the weight of the coin plus the weight of the hanging aparatus, rather than</t>
  </si>
  <si>
    <t>Make sure your hanging aparatus is rigid.  If it flexes up when you hang the coin or when you raise the basin, some of the weight is being concealed</t>
  </si>
  <si>
    <t>from the scale by the stored energy in the spring of the hanging aparatus, and your readings will be inaccurate.</t>
  </si>
  <si>
    <t>It's also possible to measure larger coins  using a large basin of water that is too heavy for your scale.  To do this, obtain a "helping hands" or other</t>
  </si>
  <si>
    <t>Maneuver the basin of water under the coin, and raise it, to submerge the coin.  Make sure the coin does not touch the sides or bottom</t>
  </si>
  <si>
    <t>&lt;-- just enter data in green fields, other fields will update automatically</t>
  </si>
  <si>
    <t>enter coin info</t>
  </si>
  <si>
    <t>enter coin specs</t>
  </si>
  <si>
    <t>enter physical</t>
  </si>
  <si>
    <t>measurements made</t>
  </si>
  <si>
    <t>verifying physical</t>
  </si>
  <si>
    <t>tweak lip depth to get (volume), (weight by ww) and (sp grav by size+wt) close to expected values</t>
  </si>
  <si>
    <t>(water weight grams) needs to be entered with higher prcision for small coins sucbh as 1/10oz gold</t>
  </si>
  <si>
    <t>You will need a precision scale that can measure grams to 2 decimal places. (3 places for small coins)  500g capacity is recommended, do your best.</t>
  </si>
  <si>
    <t>Small flatbed food scales seem to work the best, having both precision and adequate capacity.  I use a Skallo brand scale.</t>
  </si>
  <si>
    <t>Cut off a foot or so of dental floss and tie one end around the coin, so you can suspend it about level.  Use as little floss on the end near the coin as posssible</t>
  </si>
  <si>
    <t>Carefully lower the coin into the water.  It needs to be completely submerged, at least 2mm below the surface, AND NOT TOUCHING</t>
  </si>
  <si>
    <t>materials in the bar.  A bar with an air pocket void in it would also lower average density.</t>
  </si>
  <si>
    <t>Measuring a coin's specific gravity like this, along with weighing the coin's natural dry weight allows you to confirm the average density of the material</t>
  </si>
  <si>
    <t>the coin is made from.  Precious metals are heavier than most common metals, so to make a fake coin using a common metal will usually require them</t>
  </si>
  <si>
    <t>to make the coin larger than normal (and coins are easy to measure) OR lighter than normal.  (coins are also easy to weigh)</t>
  </si>
  <si>
    <t>If you encounter  a "round" (a privately minted coin) you probably know the correct weight but not the correct width and thickness.</t>
  </si>
  <si>
    <t xml:space="preserve">Measuring the specific gravity of the round will at least help you verify that it's made of the correct metal.  </t>
  </si>
  <si>
    <t>The biggest risk right now seems to be counterfeit gold bars.  A 10oz gold bar is a significant investment, but could be a tungsten slug with</t>
  </si>
  <si>
    <t>will weigh exactly 10oz on your scale, making it difficult to detect the forgery.</t>
  </si>
  <si>
    <t>heavy gold plating on it. (I have seen them!)  The density of tungsten is close enough to gold that it may appear to be the right size, and</t>
  </si>
  <si>
    <t>volume caused by the use of the tungsten slug.</t>
  </si>
  <si>
    <t>But you will be able to identify such a fake by measuring its wet weight (to calculate its specifc gavity/averag density) and spot the small difference in</t>
  </si>
  <si>
    <t>the weight of the coin plus the weight of a large basin of water.  It's also easier to get a stable reading when lifting the basin instead of the coin.</t>
  </si>
  <si>
    <t>This method DOES NOT improve accuracy over the previously described method, because you are still measuring the (small) change in coin weight in water.</t>
  </si>
  <si>
    <t>gold22Kcs</t>
  </si>
  <si>
    <t>modern US gold eagles</t>
  </si>
  <si>
    <t>ag.03 cu.0533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</si>
</sst>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
    <numFmt numFmtId="170" formatCode="0.0000"/>
  </numFmts>
  <fonts count="6" x14ac:knownFonts="1">
    <font>
      <sz val="12"/>
      <color theme="1"/>
      <name val="Calibri"/>
      <family val="2"/>
      <scheme val="minor"/>
    </font>
    <font>
      <b/>
      <sz val="12"/>
      <color theme="1"/>
      <name val="Calibri"/>
      <family val="2"/>
      <scheme val="minor"/>
    </font>
    <font>
      <sz val="12"/>
      <color rgb="FF222222"/>
      <name val="Arial"/>
    </font>
    <font>
      <sz val="12"/>
      <color rgb="FFFF0000"/>
      <name val="Calibri"/>
      <family val="2"/>
      <scheme val="minor"/>
    </font>
    <font>
      <b/>
      <sz val="12"/>
      <color rgb="FFFF0000"/>
      <name val="Calibri"/>
      <family val="2"/>
      <scheme val="minor"/>
    </font>
    <font>
      <b/>
      <sz val="12"/>
      <color rgb="FF00B050"/>
      <name val="Calibri"/>
      <family val="2"/>
      <scheme val="minor"/>
    </font>
  </fonts>
  <fills count="6">
    <fill>
      <patternFill patternType="none"/>
    </fill>
    <fill>
      <patternFill patternType="gray125"/>
    </fill>
    <fill>
      <patternFill patternType="solid">
        <fgColor theme="8"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4B0FF"/>
        <bgColor indexed="64"/>
      </patternFill>
    </fill>
  </fills>
  <borders count="12">
    <border>
      <left/>
      <right/>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1">
    <xf numFmtId="0" fontId="0" fillId="0" borderId="0"/>
  </cellStyleXfs>
  <cellXfs count="138">
    <xf numFmtId="0" fontId="0" fillId="0" borderId="0" xfId="0"/>
    <xf numFmtId="0" fontId="1" fillId="0" borderId="0" xfId="0" applyFont="1"/>
    <xf numFmtId="0" fontId="0" fillId="0" borderId="0" xfId="0" applyAlignment="1">
      <alignment horizontal="left"/>
    </xf>
    <xf numFmtId="0" fontId="0" fillId="0" borderId="0" xfId="0" applyAlignment="1">
      <alignment horizontal="center"/>
    </xf>
    <xf numFmtId="2" fontId="0" fillId="0" borderId="0" xfId="0" applyNumberFormat="1" applyAlignment="1">
      <alignment horizontal="center"/>
    </xf>
    <xf numFmtId="1" fontId="0" fillId="0" borderId="0" xfId="0" applyNumberFormat="1" applyAlignment="1">
      <alignment horizontal="center"/>
    </xf>
    <xf numFmtId="9" fontId="0" fillId="0" borderId="0" xfId="0" applyNumberFormat="1" applyAlignment="1">
      <alignment horizontal="center"/>
    </xf>
    <xf numFmtId="164" fontId="0" fillId="0" borderId="0" xfId="0" applyNumberFormat="1" applyAlignment="1">
      <alignment horizontal="center"/>
    </xf>
    <xf numFmtId="164" fontId="0" fillId="0" borderId="0" xfId="0" applyNumberFormat="1" applyAlignment="1">
      <alignment horizontal="left"/>
    </xf>
    <xf numFmtId="164" fontId="2" fillId="0" borderId="0" xfId="0" applyNumberFormat="1" applyFont="1" applyAlignment="1">
      <alignment horizontal="left"/>
    </xf>
    <xf numFmtId="165" fontId="0" fillId="0" borderId="0" xfId="0" applyNumberFormat="1" applyAlignment="1">
      <alignment horizontal="center"/>
    </xf>
    <xf numFmtId="165" fontId="0" fillId="0" borderId="0" xfId="0" applyNumberFormat="1" applyAlignment="1">
      <alignment horizontal="left"/>
    </xf>
    <xf numFmtId="164" fontId="1" fillId="0" borderId="0" xfId="0" applyNumberFormat="1" applyFont="1" applyAlignment="1">
      <alignment horizontal="left"/>
    </xf>
    <xf numFmtId="3" fontId="0" fillId="0" borderId="0" xfId="0" applyNumberFormat="1" applyAlignment="1">
      <alignment horizontal="center"/>
    </xf>
    <xf numFmtId="0" fontId="0" fillId="0" borderId="0" xfId="0" applyFill="1" applyAlignment="1">
      <alignment horizontal="center"/>
    </xf>
    <xf numFmtId="165" fontId="0" fillId="0" borderId="0" xfId="0" applyNumberFormat="1"/>
    <xf numFmtId="0" fontId="0" fillId="0" borderId="1" xfId="0" applyBorder="1" applyAlignment="1">
      <alignment horizontal="center"/>
    </xf>
    <xf numFmtId="3" fontId="0" fillId="0" borderId="1" xfId="0" applyNumberFormat="1" applyBorder="1" applyAlignment="1">
      <alignment horizontal="center"/>
    </xf>
    <xf numFmtId="165" fontId="0" fillId="0" borderId="1" xfId="0" applyNumberFormat="1" applyBorder="1" applyAlignment="1">
      <alignment horizontal="center"/>
    </xf>
    <xf numFmtId="2" fontId="0" fillId="0" borderId="1" xfId="0" applyNumberFormat="1" applyBorder="1" applyAlignment="1">
      <alignment horizontal="center"/>
    </xf>
    <xf numFmtId="1" fontId="0" fillId="0" borderId="1" xfId="0" applyNumberFormat="1" applyBorder="1" applyAlignment="1">
      <alignment horizontal="center"/>
    </xf>
    <xf numFmtId="164" fontId="0" fillId="0" borderId="1" xfId="0" applyNumberFormat="1" applyBorder="1" applyAlignment="1">
      <alignment horizontal="center"/>
    </xf>
    <xf numFmtId="0" fontId="0" fillId="0" borderId="2" xfId="0" applyBorder="1" applyAlignment="1">
      <alignment horizontal="center"/>
    </xf>
    <xf numFmtId="3" fontId="0" fillId="0" borderId="2" xfId="0" applyNumberFormat="1" applyBorder="1" applyAlignment="1">
      <alignment horizontal="center"/>
    </xf>
    <xf numFmtId="165" fontId="0" fillId="0" borderId="2" xfId="0" applyNumberFormat="1" applyBorder="1" applyAlignment="1">
      <alignment horizontal="center"/>
    </xf>
    <xf numFmtId="2" fontId="0" fillId="0" borderId="2" xfId="0" applyNumberFormat="1" applyBorder="1" applyAlignment="1">
      <alignment horizontal="center"/>
    </xf>
    <xf numFmtId="1" fontId="0" fillId="0" borderId="2" xfId="0" applyNumberFormat="1" applyBorder="1" applyAlignment="1">
      <alignment horizontal="center"/>
    </xf>
    <xf numFmtId="164" fontId="0" fillId="0" borderId="2" xfId="0" applyNumberFormat="1" applyBorder="1" applyAlignment="1">
      <alignment horizontal="center"/>
    </xf>
    <xf numFmtId="0" fontId="1" fillId="2" borderId="1" xfId="0" applyFont="1" applyFill="1" applyBorder="1" applyAlignment="1">
      <alignment horizontal="center"/>
    </xf>
    <xf numFmtId="0" fontId="0" fillId="0" borderId="0" xfId="0" applyFont="1"/>
    <xf numFmtId="0" fontId="0" fillId="0" borderId="0" xfId="0" applyBorder="1"/>
    <xf numFmtId="9" fontId="0" fillId="0" borderId="1" xfId="0" applyNumberFormat="1" applyFill="1" applyBorder="1" applyAlignment="1">
      <alignment horizontal="center"/>
    </xf>
    <xf numFmtId="9" fontId="0" fillId="0" borderId="2" xfId="0" applyNumberFormat="1" applyFill="1" applyBorder="1" applyAlignment="1">
      <alignment horizontal="center"/>
    </xf>
    <xf numFmtId="1" fontId="0" fillId="0" borderId="0" xfId="0" applyNumberFormat="1" applyFill="1" applyAlignment="1">
      <alignment horizontal="center"/>
    </xf>
    <xf numFmtId="165" fontId="0" fillId="0" borderId="0" xfId="0" applyNumberFormat="1" applyFill="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2" fontId="0" fillId="0" borderId="2" xfId="0" applyNumberFormat="1" applyFill="1" applyBorder="1" applyAlignment="1">
      <alignment horizontal="center"/>
    </xf>
    <xf numFmtId="0" fontId="0" fillId="0" borderId="2" xfId="0" applyBorder="1" applyAlignment="1">
      <alignment horizontal="left"/>
    </xf>
    <xf numFmtId="1" fontId="0" fillId="0" borderId="1" xfId="0" applyNumberFormat="1" applyFill="1" applyBorder="1" applyAlignment="1">
      <alignment horizontal="center"/>
    </xf>
    <xf numFmtId="1" fontId="0" fillId="0" borderId="2" xfId="0" applyNumberFormat="1" applyFill="1" applyBorder="1" applyAlignment="1">
      <alignment horizontal="center"/>
    </xf>
    <xf numFmtId="165" fontId="0" fillId="0" borderId="1" xfId="0" applyNumberFormat="1" applyFill="1" applyBorder="1" applyAlignment="1">
      <alignment horizontal="center"/>
    </xf>
    <xf numFmtId="165" fontId="0" fillId="0" borderId="2" xfId="0" applyNumberFormat="1" applyFill="1" applyBorder="1" applyAlignment="1">
      <alignment horizontal="center"/>
    </xf>
    <xf numFmtId="0" fontId="0" fillId="0" borderId="0" xfId="0" applyFill="1"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1" fontId="0" fillId="0" borderId="0" xfId="0" applyNumberFormat="1" applyFill="1" applyBorder="1" applyAlignment="1">
      <alignment horizontal="center"/>
    </xf>
    <xf numFmtId="165" fontId="0" fillId="0" borderId="0" xfId="0" applyNumberFormat="1" applyBorder="1" applyAlignment="1">
      <alignment horizontal="center"/>
    </xf>
    <xf numFmtId="2" fontId="0" fillId="0" borderId="0" xfId="0" applyNumberFormat="1" applyBorder="1" applyAlignment="1">
      <alignment horizontal="center"/>
    </xf>
    <xf numFmtId="1" fontId="0" fillId="0" borderId="0" xfId="0" applyNumberFormat="1" applyBorder="1" applyAlignment="1">
      <alignment horizontal="center"/>
    </xf>
    <xf numFmtId="165" fontId="0" fillId="0" borderId="0" xfId="0" applyNumberFormat="1" applyFill="1" applyBorder="1" applyAlignment="1">
      <alignment horizontal="center"/>
    </xf>
    <xf numFmtId="2" fontId="4" fillId="0" borderId="0" xfId="0" applyNumberFormat="1" applyFont="1" applyBorder="1" applyAlignment="1">
      <alignment horizontal="center"/>
    </xf>
    <xf numFmtId="9" fontId="0" fillId="0" borderId="0" xfId="0" applyNumberFormat="1" applyFill="1" applyBorder="1" applyAlignment="1">
      <alignment horizontal="center"/>
    </xf>
    <xf numFmtId="2" fontId="0" fillId="0" borderId="0" xfId="0" applyNumberFormat="1" applyFill="1" applyBorder="1" applyAlignment="1">
      <alignment horizontal="center"/>
    </xf>
    <xf numFmtId="9" fontId="0" fillId="0" borderId="0" xfId="0" applyNumberFormat="1" applyBorder="1" applyAlignment="1">
      <alignment horizontal="center"/>
    </xf>
    <xf numFmtId="164" fontId="0" fillId="0" borderId="0" xfId="0" applyNumberForma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applyFill="1" applyBorder="1"/>
    <xf numFmtId="3" fontId="0" fillId="0" borderId="0" xfId="0" applyNumberFormat="1" applyFill="1" applyBorder="1" applyAlignment="1">
      <alignment horizontal="left"/>
    </xf>
    <xf numFmtId="165" fontId="0" fillId="0" borderId="0" xfId="0" applyNumberFormat="1" applyFill="1" applyBorder="1" applyAlignment="1">
      <alignment horizontal="left"/>
    </xf>
    <xf numFmtId="1" fontId="0" fillId="0" borderId="0" xfId="0" applyNumberFormat="1" applyFill="1" applyBorder="1" applyAlignment="1">
      <alignment horizontal="left"/>
    </xf>
    <xf numFmtId="164" fontId="0" fillId="0" borderId="0" xfId="0" applyNumberFormat="1" applyFill="1" applyBorder="1" applyAlignment="1">
      <alignment horizontal="left"/>
    </xf>
    <xf numFmtId="3" fontId="0" fillId="0" borderId="0" xfId="0" applyNumberFormat="1" applyBorder="1" applyAlignment="1">
      <alignment horizontal="left"/>
    </xf>
    <xf numFmtId="1" fontId="1" fillId="0" borderId="0" xfId="0" applyNumberFormat="1" applyFont="1" applyFill="1" applyBorder="1" applyAlignment="1">
      <alignment horizontal="center"/>
    </xf>
    <xf numFmtId="2" fontId="1" fillId="0" borderId="0" xfId="0" applyNumberFormat="1" applyFont="1" applyBorder="1" applyAlignment="1">
      <alignment horizontal="center"/>
    </xf>
    <xf numFmtId="1" fontId="1" fillId="0" borderId="0" xfId="0" applyNumberFormat="1" applyFont="1" applyBorder="1" applyAlignment="1">
      <alignment horizontal="center"/>
    </xf>
    <xf numFmtId="9" fontId="1" fillId="0" borderId="0" xfId="0" applyNumberFormat="1" applyFont="1" applyFill="1" applyBorder="1" applyAlignment="1">
      <alignment horizontal="center"/>
    </xf>
    <xf numFmtId="164" fontId="1" fillId="0" borderId="0" xfId="0" applyNumberFormat="1" applyFont="1" applyBorder="1" applyAlignment="1">
      <alignment horizontal="center"/>
    </xf>
    <xf numFmtId="0" fontId="1" fillId="0" borderId="0" xfId="0" applyFont="1" applyBorder="1" applyAlignment="1">
      <alignment horizontal="left"/>
    </xf>
    <xf numFmtId="0" fontId="1" fillId="0" borderId="0" xfId="0" applyFont="1" applyBorder="1" applyAlignment="1">
      <alignment horizontal="center"/>
    </xf>
    <xf numFmtId="3" fontId="1" fillId="0" borderId="0" xfId="0" applyNumberFormat="1" applyFont="1" applyBorder="1" applyAlignment="1">
      <alignment horizontal="center"/>
    </xf>
    <xf numFmtId="165" fontId="1" fillId="0" borderId="0" xfId="0" applyNumberFormat="1" applyFont="1" applyBorder="1" applyAlignment="1">
      <alignment horizontal="center"/>
    </xf>
    <xf numFmtId="0" fontId="1" fillId="2" borderId="0" xfId="0" applyFont="1" applyFill="1" applyBorder="1" applyAlignment="1">
      <alignment horizontal="center"/>
    </xf>
    <xf numFmtId="165" fontId="1" fillId="2" borderId="0" xfId="0" applyNumberFormat="1" applyFont="1" applyFill="1" applyBorder="1" applyAlignment="1">
      <alignment horizontal="center"/>
    </xf>
    <xf numFmtId="1" fontId="1" fillId="2" borderId="0" xfId="0" applyNumberFormat="1" applyFont="1" applyFill="1" applyBorder="1" applyAlignment="1">
      <alignment horizontal="center"/>
    </xf>
    <xf numFmtId="0" fontId="0" fillId="0" borderId="3" xfId="0" applyFill="1" applyBorder="1" applyAlignment="1">
      <alignment horizontal="center"/>
    </xf>
    <xf numFmtId="0" fontId="0" fillId="0" borderId="4" xfId="0" applyBorder="1" applyAlignment="1">
      <alignment horizontal="center"/>
    </xf>
    <xf numFmtId="3" fontId="0" fillId="0" borderId="4" xfId="0" applyNumberFormat="1" applyBorder="1" applyAlignment="1">
      <alignment horizontal="center"/>
    </xf>
    <xf numFmtId="1" fontId="0" fillId="0" borderId="4" xfId="0" applyNumberFormat="1" applyFill="1" applyBorder="1" applyAlignment="1">
      <alignment horizontal="center"/>
    </xf>
    <xf numFmtId="165" fontId="0" fillId="0" borderId="4" xfId="0" applyNumberFormat="1" applyBorder="1" applyAlignment="1">
      <alignment horizontal="center"/>
    </xf>
    <xf numFmtId="2" fontId="0" fillId="0" borderId="4" xfId="0" applyNumberFormat="1" applyBorder="1" applyAlignment="1">
      <alignment horizontal="center"/>
    </xf>
    <xf numFmtId="1" fontId="0" fillId="0" borderId="4" xfId="0" applyNumberFormat="1" applyBorder="1" applyAlignment="1">
      <alignment horizontal="center"/>
    </xf>
    <xf numFmtId="165" fontId="0" fillId="0" borderId="4" xfId="0" applyNumberFormat="1" applyFill="1" applyBorder="1" applyAlignment="1">
      <alignment horizontal="center"/>
    </xf>
    <xf numFmtId="0" fontId="0" fillId="0" borderId="4" xfId="0" applyFill="1" applyBorder="1" applyAlignment="1">
      <alignment horizontal="center"/>
    </xf>
    <xf numFmtId="9" fontId="0" fillId="0" borderId="4" xfId="0" applyNumberFormat="1" applyBorder="1" applyAlignment="1">
      <alignment horizontal="center"/>
    </xf>
    <xf numFmtId="164" fontId="0" fillId="0" borderId="4" xfId="0" applyNumberFormat="1" applyBorder="1" applyAlignment="1">
      <alignment horizontal="center"/>
    </xf>
    <xf numFmtId="0" fontId="0" fillId="0" borderId="4" xfId="0" applyBorder="1" applyAlignment="1">
      <alignment horizontal="left"/>
    </xf>
    <xf numFmtId="0" fontId="0" fillId="0" borderId="5" xfId="0" applyBorder="1" applyAlignment="1">
      <alignment horizontal="center"/>
    </xf>
    <xf numFmtId="0" fontId="0" fillId="0" borderId="6" xfId="0" applyFill="1" applyBorder="1" applyAlignment="1">
      <alignment horizontal="center"/>
    </xf>
    <xf numFmtId="0" fontId="0" fillId="0" borderId="7" xfId="0" applyBorder="1" applyAlignment="1">
      <alignment horizontal="center"/>
    </xf>
    <xf numFmtId="0" fontId="0" fillId="0" borderId="6" xfId="0" applyFill="1" applyBorder="1" applyAlignment="1">
      <alignment horizontal="left"/>
    </xf>
    <xf numFmtId="0" fontId="0" fillId="0" borderId="7" xfId="0" applyFill="1" applyBorder="1" applyAlignment="1">
      <alignment horizontal="left"/>
    </xf>
    <xf numFmtId="0" fontId="0" fillId="0" borderId="7" xfId="0" applyBorder="1" applyAlignment="1">
      <alignment horizontal="left"/>
    </xf>
    <xf numFmtId="0" fontId="0" fillId="0" borderId="8" xfId="0" applyFill="1" applyBorder="1" applyAlignment="1">
      <alignment horizontal="center"/>
    </xf>
    <xf numFmtId="0" fontId="0" fillId="0" borderId="9" xfId="0" applyBorder="1" applyAlignment="1">
      <alignment horizontal="center"/>
    </xf>
    <xf numFmtId="3" fontId="0" fillId="0" borderId="9" xfId="0" applyNumberFormat="1" applyBorder="1" applyAlignment="1">
      <alignment horizontal="center"/>
    </xf>
    <xf numFmtId="1" fontId="0" fillId="0" borderId="9" xfId="0" applyNumberFormat="1" applyFill="1" applyBorder="1" applyAlignment="1">
      <alignment horizontal="center"/>
    </xf>
    <xf numFmtId="165" fontId="0" fillId="0" borderId="9" xfId="0" applyNumberFormat="1" applyBorder="1" applyAlignment="1">
      <alignment horizontal="center"/>
    </xf>
    <xf numFmtId="2" fontId="0" fillId="0" borderId="9" xfId="0" applyNumberFormat="1" applyBorder="1" applyAlignment="1">
      <alignment horizontal="center"/>
    </xf>
    <xf numFmtId="1" fontId="0" fillId="0" borderId="9" xfId="0" applyNumberFormat="1" applyBorder="1" applyAlignment="1">
      <alignment horizontal="center"/>
    </xf>
    <xf numFmtId="165" fontId="0" fillId="0" borderId="9" xfId="0" applyNumberFormat="1" applyFill="1" applyBorder="1" applyAlignment="1">
      <alignment horizontal="center"/>
    </xf>
    <xf numFmtId="0" fontId="0" fillId="0" borderId="9" xfId="0" applyFill="1" applyBorder="1" applyAlignment="1">
      <alignment horizontal="center"/>
    </xf>
    <xf numFmtId="9" fontId="0" fillId="0" borderId="9" xfId="0" applyNumberFormat="1" applyBorder="1" applyAlignment="1">
      <alignment horizontal="center"/>
    </xf>
    <xf numFmtId="164" fontId="0" fillId="0" borderId="9" xfId="0" applyNumberFormat="1" applyBorder="1" applyAlignment="1">
      <alignment horizontal="center"/>
    </xf>
    <xf numFmtId="0" fontId="0" fillId="0" borderId="9" xfId="0"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1" xfId="0" applyFill="1" applyBorder="1" applyAlignment="1">
      <alignment horizontal="center"/>
    </xf>
    <xf numFmtId="0" fontId="1" fillId="2" borderId="2" xfId="0" applyFont="1" applyFill="1" applyBorder="1" applyAlignment="1">
      <alignment horizontal="center"/>
    </xf>
    <xf numFmtId="0" fontId="0" fillId="0" borderId="1" xfId="0" applyFont="1" applyBorder="1" applyAlignment="1">
      <alignment horizontal="center"/>
    </xf>
    <xf numFmtId="3" fontId="0" fillId="0" borderId="1" xfId="0" applyNumberFormat="1" applyFont="1" applyBorder="1" applyAlignment="1">
      <alignment horizontal="center"/>
    </xf>
    <xf numFmtId="165" fontId="0" fillId="0" borderId="1" xfId="0" applyNumberFormat="1" applyFont="1" applyBorder="1" applyAlignment="1">
      <alignment horizontal="center"/>
    </xf>
    <xf numFmtId="2" fontId="0" fillId="0" borderId="1" xfId="0" applyNumberFormat="1" applyFont="1" applyBorder="1" applyAlignment="1">
      <alignment horizontal="center"/>
    </xf>
    <xf numFmtId="1" fontId="0" fillId="0" borderId="1" xfId="0" applyNumberFormat="1" applyFont="1" applyBorder="1" applyAlignment="1">
      <alignment horizontal="center"/>
    </xf>
    <xf numFmtId="2" fontId="0" fillId="0" borderId="1" xfId="0" applyNumberFormat="1" applyFont="1" applyFill="1" applyBorder="1" applyAlignment="1">
      <alignment horizontal="center"/>
    </xf>
    <xf numFmtId="1" fontId="0" fillId="0" borderId="1" xfId="0" applyNumberFormat="1" applyFont="1" applyFill="1" applyBorder="1" applyAlignment="1">
      <alignment horizontal="center"/>
    </xf>
    <xf numFmtId="9" fontId="0" fillId="0" borderId="1" xfId="0" applyNumberFormat="1" applyFont="1" applyFill="1" applyBorder="1" applyAlignment="1">
      <alignment horizontal="center"/>
    </xf>
    <xf numFmtId="164" fontId="0" fillId="0" borderId="1" xfId="0" applyNumberFormat="1" applyFont="1" applyBorder="1" applyAlignment="1">
      <alignment horizontal="center"/>
    </xf>
    <xf numFmtId="0" fontId="0" fillId="0" borderId="1" xfId="0" applyFont="1" applyBorder="1" applyAlignment="1">
      <alignment horizontal="left"/>
    </xf>
    <xf numFmtId="0" fontId="0" fillId="4" borderId="0" xfId="0" applyFill="1" applyAlignment="1">
      <alignment horizontal="center"/>
    </xf>
    <xf numFmtId="1" fontId="3" fillId="0" borderId="0" xfId="0" applyNumberFormat="1" applyFont="1" applyAlignment="1">
      <alignment horizontal="left"/>
    </xf>
    <xf numFmtId="0" fontId="4" fillId="0" borderId="0" xfId="0" applyFont="1" applyBorder="1" applyAlignment="1">
      <alignment horizontal="center"/>
    </xf>
    <xf numFmtId="165" fontId="4" fillId="0" borderId="0" xfId="0" applyNumberFormat="1" applyFont="1" applyBorder="1" applyAlignment="1">
      <alignment horizontal="center"/>
    </xf>
    <xf numFmtId="1" fontId="5" fillId="0" borderId="0" xfId="0" applyNumberFormat="1" applyFont="1" applyBorder="1" applyAlignment="1">
      <alignment horizontal="center"/>
    </xf>
    <xf numFmtId="9" fontId="5" fillId="0" borderId="0" xfId="0" applyNumberFormat="1" applyFont="1" applyFill="1" applyBorder="1" applyAlignment="1">
      <alignment horizontal="center"/>
    </xf>
    <xf numFmtId="165" fontId="0" fillId="0" borderId="1" xfId="0" applyNumberFormat="1" applyFont="1" applyFill="1" applyBorder="1" applyAlignment="1">
      <alignment horizontal="center"/>
    </xf>
    <xf numFmtId="165" fontId="0" fillId="4" borderId="0" xfId="0" applyNumberFormat="1" applyFill="1" applyAlignment="1">
      <alignment horizontal="center"/>
    </xf>
    <xf numFmtId="2" fontId="0" fillId="5" borderId="1" xfId="0" applyNumberFormat="1" applyFill="1" applyBorder="1" applyAlignment="1">
      <alignment horizontal="center"/>
    </xf>
    <xf numFmtId="0" fontId="0" fillId="5" borderId="1" xfId="0" applyFill="1" applyBorder="1" applyAlignment="1">
      <alignment horizontal="center"/>
    </xf>
    <xf numFmtId="170" fontId="0" fillId="0" borderId="0" xfId="0" applyNumberFormat="1"/>
    <xf numFmtId="170" fontId="1" fillId="0" borderId="0" xfId="0" applyNumberFormat="1" applyFont="1"/>
    <xf numFmtId="170" fontId="0" fillId="0" borderId="0" xfId="0" applyNumberFormat="1" applyAlignment="1">
      <alignment horizontal="left"/>
    </xf>
    <xf numFmtId="165" fontId="1" fillId="3" borderId="0" xfId="0" applyNumberFormat="1" applyFont="1" applyFill="1" applyBorder="1" applyAlignment="1">
      <alignment horizontal="center"/>
    </xf>
    <xf numFmtId="165" fontId="0" fillId="3" borderId="0" xfId="0" applyNumberFormat="1" applyFill="1" applyBorder="1" applyAlignment="1">
      <alignment horizontal="center"/>
    </xf>
    <xf numFmtId="165" fontId="0" fillId="3" borderId="1" xfId="0" applyNumberFormat="1" applyFill="1" applyBorder="1" applyAlignment="1">
      <alignment horizontal="center"/>
    </xf>
    <xf numFmtId="165" fontId="0" fillId="3" borderId="2" xfId="0" applyNumberFormat="1" applyFill="1" applyBorder="1" applyAlignment="1">
      <alignment horizontal="center"/>
    </xf>
    <xf numFmtId="165" fontId="0" fillId="3" borderId="1" xfId="0" applyNumberFormat="1" applyFont="1" applyFill="1" applyBorder="1" applyAlignment="1">
      <alignment horizontal="center"/>
    </xf>
  </cellXfs>
  <cellStyles count="1">
    <cellStyle name="Normal" xfId="0" builtinId="0"/>
  </cellStyles>
  <dxfs count="18">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patternType="none">
          <bgColor auto="1"/>
        </patternFill>
      </fill>
    </dxf>
    <dxf>
      <font>
        <color rgb="FF006100"/>
      </font>
      <fill>
        <patternFill patternType="none">
          <bgColor auto="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s>
  <tableStyles count="0" defaultTableStyle="TableStyleMedium9" defaultPivotStyle="PivotStyleMedium7"/>
  <colors>
    <mruColors>
      <color rgb="FFC4B0FF"/>
      <color rgb="FFFF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W55"/>
  <sheetViews>
    <sheetView tabSelected="1" showRuler="0" workbookViewId="0">
      <selection activeCell="F31" sqref="F31"/>
    </sheetView>
  </sheetViews>
  <sheetFormatPr baseColWidth="10" defaultRowHeight="16" x14ac:dyDescent="0.2"/>
  <cols>
    <col min="1" max="1" width="1.83203125" style="3" customWidth="1"/>
    <col min="2" max="2" width="1.83203125" style="14" customWidth="1"/>
    <col min="3" max="3" width="10.83203125" style="3" customWidth="1"/>
    <col min="4" max="4" width="7.83203125" style="3" customWidth="1"/>
    <col min="5" max="5" width="12.83203125" style="3" customWidth="1"/>
    <col min="6" max="7" width="11.83203125" style="3" customWidth="1"/>
    <col min="8" max="8" width="4.83203125" style="3" customWidth="1"/>
    <col min="9" max="9" width="10.83203125" style="13" customWidth="1"/>
    <col min="10" max="10" width="6.83203125" style="13" customWidth="1"/>
    <col min="11" max="11" width="1.83203125" style="33" customWidth="1"/>
    <col min="12" max="13" width="9.33203125" style="3" customWidth="1"/>
    <col min="14" max="14" width="9.33203125" style="10" customWidth="1"/>
    <col min="15" max="15" width="9.33203125" style="4" customWidth="1"/>
    <col min="16" max="16" width="11" style="5" customWidth="1"/>
    <col min="17" max="17" width="1.83203125" style="34" customWidth="1"/>
    <col min="18" max="18" width="8.83203125" style="4" customWidth="1"/>
    <col min="19" max="19" width="8.33203125" style="4" customWidth="1"/>
    <col min="20" max="20" width="9.5" style="4" customWidth="1"/>
    <col min="21" max="22" width="7.83203125" style="10" customWidth="1"/>
    <col min="23" max="23" width="1.83203125" style="14" customWidth="1"/>
    <col min="24" max="24" width="6.83203125" style="3" customWidth="1"/>
    <col min="25" max="25" width="7.83203125" style="5" customWidth="1"/>
    <col min="26" max="26" width="7.33203125" style="5" customWidth="1"/>
    <col min="27" max="27" width="1.83203125" style="33" customWidth="1"/>
    <col min="28" max="28" width="9" style="6" customWidth="1"/>
    <col min="29" max="29" width="1.83203125" style="33" customWidth="1"/>
    <col min="30" max="30" width="7.5" style="6" customWidth="1"/>
    <col min="31" max="31" width="1.83203125" style="33" customWidth="1"/>
    <col min="32" max="32" width="7.83203125" style="4" customWidth="1"/>
    <col min="33" max="33" width="5.83203125" style="6" customWidth="1"/>
    <col min="34" max="34" width="1.83203125" style="33" customWidth="1"/>
    <col min="35" max="35" width="11.6640625" style="10" customWidth="1"/>
    <col min="36" max="36" width="5.83203125" style="6" customWidth="1"/>
    <col min="37" max="37" width="1.83203125" style="33" customWidth="1"/>
    <col min="38" max="38" width="12.5" style="4" customWidth="1"/>
    <col min="39" max="39" width="5.83203125" style="6" customWidth="1"/>
    <col min="40" max="40" width="1.83203125" style="33" customWidth="1"/>
    <col min="41" max="41" width="8.83203125" style="4" customWidth="1"/>
    <col min="42" max="42" width="5.83203125" style="6" customWidth="1"/>
    <col min="43" max="43" width="1.83203125" style="33" customWidth="1"/>
    <col min="44" max="44" width="8.83203125" style="7" customWidth="1"/>
    <col min="45" max="46" width="8.83203125" style="3" customWidth="1"/>
    <col min="47" max="47" width="1.83203125" style="33" customWidth="1"/>
    <col min="48" max="48" width="44.33203125" style="2" customWidth="1"/>
    <col min="49" max="49" width="1.83203125" style="3" customWidth="1"/>
    <col min="50" max="16384" width="10.83203125" style="3"/>
  </cols>
  <sheetData>
    <row r="1" spans="2:49" ht="11" customHeight="1" thickBot="1" x14ac:dyDescent="0.25"/>
    <row r="2" spans="2:49" ht="11" customHeight="1" x14ac:dyDescent="0.2">
      <c r="B2" s="76"/>
      <c r="C2" s="77"/>
      <c r="D2" s="77"/>
      <c r="E2" s="77"/>
      <c r="F2" s="77"/>
      <c r="G2" s="77"/>
      <c r="H2" s="77"/>
      <c r="I2" s="78"/>
      <c r="J2" s="78"/>
      <c r="K2" s="79"/>
      <c r="L2" s="77"/>
      <c r="M2" s="77"/>
      <c r="N2" s="80"/>
      <c r="O2" s="81"/>
      <c r="P2" s="82"/>
      <c r="Q2" s="83"/>
      <c r="R2" s="81"/>
      <c r="S2" s="81"/>
      <c r="T2" s="81"/>
      <c r="U2" s="80"/>
      <c r="V2" s="80"/>
      <c r="W2" s="84"/>
      <c r="X2" s="77"/>
      <c r="Y2" s="82"/>
      <c r="Z2" s="82"/>
      <c r="AA2" s="79"/>
      <c r="AB2" s="85"/>
      <c r="AC2" s="79"/>
      <c r="AD2" s="85"/>
      <c r="AE2" s="79"/>
      <c r="AF2" s="81"/>
      <c r="AG2" s="85"/>
      <c r="AH2" s="79"/>
      <c r="AI2" s="80"/>
      <c r="AJ2" s="85"/>
      <c r="AK2" s="79"/>
      <c r="AL2" s="81"/>
      <c r="AM2" s="85"/>
      <c r="AN2" s="79"/>
      <c r="AO2" s="81"/>
      <c r="AP2" s="85"/>
      <c r="AQ2" s="79"/>
      <c r="AR2" s="86"/>
      <c r="AS2" s="77"/>
      <c r="AT2" s="77"/>
      <c r="AU2" s="79"/>
      <c r="AV2" s="87"/>
      <c r="AW2" s="88"/>
    </row>
    <row r="3" spans="2:49" s="44" customFormat="1" x14ac:dyDescent="0.2">
      <c r="B3" s="89"/>
      <c r="F3" s="122" t="s">
        <v>168</v>
      </c>
      <c r="I3" s="45"/>
      <c r="J3" s="45"/>
      <c r="K3" s="73"/>
      <c r="N3" s="123" t="s">
        <v>169</v>
      </c>
      <c r="O3" s="48"/>
      <c r="P3" s="49"/>
      <c r="Q3" s="73"/>
      <c r="R3" s="48"/>
      <c r="S3" s="48"/>
      <c r="T3" s="51" t="s">
        <v>170</v>
      </c>
      <c r="U3" s="47"/>
      <c r="V3" s="47"/>
      <c r="W3" s="73"/>
      <c r="Y3" s="124" t="s">
        <v>116</v>
      </c>
      <c r="Z3" s="49"/>
      <c r="AA3" s="73"/>
      <c r="AB3" s="52"/>
      <c r="AC3" s="46"/>
      <c r="AD3" s="52"/>
      <c r="AE3" s="46"/>
      <c r="AF3" s="53"/>
      <c r="AG3" s="52"/>
      <c r="AH3" s="46"/>
      <c r="AI3" s="50"/>
      <c r="AJ3" s="125" t="s">
        <v>172</v>
      </c>
      <c r="AK3" s="46"/>
      <c r="AL3" s="53"/>
      <c r="AM3" s="52"/>
      <c r="AN3" s="46"/>
      <c r="AO3" s="53"/>
      <c r="AP3" s="54"/>
      <c r="AQ3" s="73"/>
      <c r="AR3" s="55"/>
      <c r="AT3" s="125" t="s">
        <v>119</v>
      </c>
      <c r="AU3" s="46"/>
      <c r="AV3" s="56"/>
      <c r="AW3" s="90"/>
    </row>
    <row r="4" spans="2:49" s="57" customFormat="1" x14ac:dyDescent="0.2">
      <c r="B4" s="91"/>
      <c r="C4" s="44"/>
      <c r="D4" s="58"/>
      <c r="I4" s="59"/>
      <c r="J4" s="59"/>
      <c r="K4" s="73"/>
      <c r="N4" s="60"/>
      <c r="O4" s="48"/>
      <c r="P4" s="61"/>
      <c r="Q4" s="73"/>
      <c r="R4" s="48"/>
      <c r="S4" s="48"/>
      <c r="T4" s="51" t="s">
        <v>171</v>
      </c>
      <c r="U4" s="47"/>
      <c r="V4" s="47"/>
      <c r="W4" s="73"/>
      <c r="X4" s="44"/>
      <c r="Y4" s="124" t="s">
        <v>14</v>
      </c>
      <c r="Z4" s="49"/>
      <c r="AA4" s="73"/>
      <c r="AB4" s="52"/>
      <c r="AC4" s="46"/>
      <c r="AD4" s="52"/>
      <c r="AE4" s="46"/>
      <c r="AF4" s="53"/>
      <c r="AG4" s="52"/>
      <c r="AH4" s="46"/>
      <c r="AI4" s="50"/>
      <c r="AJ4" s="125" t="s">
        <v>118</v>
      </c>
      <c r="AK4" s="46"/>
      <c r="AL4" s="53"/>
      <c r="AM4" s="52"/>
      <c r="AN4" s="46"/>
      <c r="AO4" s="53"/>
      <c r="AP4" s="54"/>
      <c r="AQ4" s="73"/>
      <c r="AR4" s="62"/>
      <c r="AU4" s="46"/>
      <c r="AW4" s="92"/>
    </row>
    <row r="5" spans="2:49" s="56" customFormat="1" x14ac:dyDescent="0.2">
      <c r="B5" s="91"/>
      <c r="C5" s="58"/>
      <c r="D5" s="57"/>
      <c r="E5" s="57"/>
      <c r="I5" s="63"/>
      <c r="J5" s="63"/>
      <c r="K5" s="73"/>
      <c r="L5" s="65" t="s">
        <v>105</v>
      </c>
      <c r="M5" s="65" t="s">
        <v>105</v>
      </c>
      <c r="N5" s="65" t="s">
        <v>105</v>
      </c>
      <c r="O5" s="65" t="s">
        <v>105</v>
      </c>
      <c r="P5" s="66" t="s">
        <v>105</v>
      </c>
      <c r="Q5" s="73"/>
      <c r="R5" s="65" t="s">
        <v>31</v>
      </c>
      <c r="S5" s="65"/>
      <c r="T5" s="65"/>
      <c r="U5" s="133" t="s">
        <v>11</v>
      </c>
      <c r="V5" s="72" t="s">
        <v>22</v>
      </c>
      <c r="W5" s="73"/>
      <c r="X5" s="66" t="s">
        <v>53</v>
      </c>
      <c r="Y5" s="66" t="s">
        <v>53</v>
      </c>
      <c r="Z5" s="66" t="s">
        <v>53</v>
      </c>
      <c r="AA5" s="73"/>
      <c r="AB5" s="65" t="s">
        <v>109</v>
      </c>
      <c r="AC5" s="64"/>
      <c r="AD5" s="65" t="s">
        <v>109</v>
      </c>
      <c r="AE5" s="64"/>
      <c r="AF5" s="65" t="s">
        <v>109</v>
      </c>
      <c r="AG5" s="67" t="s">
        <v>15</v>
      </c>
      <c r="AH5" s="64"/>
      <c r="AI5" s="65" t="s">
        <v>109</v>
      </c>
      <c r="AJ5" s="67" t="s">
        <v>15</v>
      </c>
      <c r="AK5" s="64"/>
      <c r="AL5" s="66" t="s">
        <v>109</v>
      </c>
      <c r="AM5" s="67" t="s">
        <v>15</v>
      </c>
      <c r="AN5" s="64"/>
      <c r="AO5" s="66" t="s">
        <v>109</v>
      </c>
      <c r="AP5" s="67" t="s">
        <v>15</v>
      </c>
      <c r="AQ5" s="73"/>
      <c r="AR5" s="68" t="s">
        <v>28</v>
      </c>
      <c r="AS5" s="68" t="s">
        <v>28</v>
      </c>
      <c r="AT5" s="68" t="s">
        <v>28</v>
      </c>
      <c r="AU5" s="64"/>
      <c r="AV5" s="69" t="s">
        <v>119</v>
      </c>
      <c r="AW5" s="93"/>
    </row>
    <row r="6" spans="2:49" s="44" customFormat="1" x14ac:dyDescent="0.2">
      <c r="B6" s="89"/>
      <c r="C6" s="70"/>
      <c r="D6" s="70"/>
      <c r="E6" s="70"/>
      <c r="F6" s="70" t="s">
        <v>71</v>
      </c>
      <c r="G6" s="70"/>
      <c r="H6" s="70"/>
      <c r="I6" s="71"/>
      <c r="J6" s="71"/>
      <c r="K6" s="73"/>
      <c r="L6" s="70" t="s">
        <v>8</v>
      </c>
      <c r="M6" s="70" t="s">
        <v>8</v>
      </c>
      <c r="N6" s="72" t="s">
        <v>8</v>
      </c>
      <c r="O6" s="65" t="s">
        <v>103</v>
      </c>
      <c r="P6" s="66" t="s">
        <v>14</v>
      </c>
      <c r="Q6" s="73"/>
      <c r="R6" s="65" t="s">
        <v>8</v>
      </c>
      <c r="S6" s="65" t="s">
        <v>121</v>
      </c>
      <c r="T6" s="65" t="s">
        <v>122</v>
      </c>
      <c r="U6" s="133" t="s">
        <v>32</v>
      </c>
      <c r="V6" s="72" t="s">
        <v>8</v>
      </c>
      <c r="W6" s="73"/>
      <c r="X6" s="70" t="s">
        <v>54</v>
      </c>
      <c r="Y6" s="66" t="s">
        <v>13</v>
      </c>
      <c r="Z6" s="66" t="s">
        <v>14</v>
      </c>
      <c r="AA6" s="73"/>
      <c r="AB6" s="65" t="s">
        <v>8</v>
      </c>
      <c r="AC6" s="64"/>
      <c r="AD6" s="67" t="s">
        <v>14</v>
      </c>
      <c r="AE6" s="64"/>
      <c r="AF6" s="65" t="s">
        <v>8</v>
      </c>
      <c r="AG6" s="67"/>
      <c r="AH6" s="64"/>
      <c r="AI6" s="72" t="s">
        <v>117</v>
      </c>
      <c r="AJ6" s="67"/>
      <c r="AK6" s="64"/>
      <c r="AL6" s="65" t="s">
        <v>103</v>
      </c>
      <c r="AM6" s="67"/>
      <c r="AN6" s="64"/>
      <c r="AO6" s="65" t="s">
        <v>103</v>
      </c>
      <c r="AP6" s="67"/>
      <c r="AQ6" s="73"/>
      <c r="AR6" s="68" t="s">
        <v>18</v>
      </c>
      <c r="AS6" s="70" t="s">
        <v>21</v>
      </c>
      <c r="AT6" s="70" t="s">
        <v>23</v>
      </c>
      <c r="AU6" s="64"/>
      <c r="AV6" s="56"/>
      <c r="AW6" s="90"/>
    </row>
    <row r="7" spans="2:49" s="44" customFormat="1" x14ac:dyDescent="0.2">
      <c r="B7" s="89"/>
      <c r="C7" s="70" t="s">
        <v>73</v>
      </c>
      <c r="D7" s="70" t="s">
        <v>72</v>
      </c>
      <c r="E7" s="70" t="s">
        <v>74</v>
      </c>
      <c r="F7" s="70" t="s">
        <v>75</v>
      </c>
      <c r="G7" s="70" t="s">
        <v>70</v>
      </c>
      <c r="H7" s="70" t="s">
        <v>69</v>
      </c>
      <c r="I7" s="71" t="s">
        <v>41</v>
      </c>
      <c r="J7" s="71" t="s">
        <v>64</v>
      </c>
      <c r="K7" s="73"/>
      <c r="L7" s="70" t="s">
        <v>17</v>
      </c>
      <c r="M7" s="72" t="s">
        <v>106</v>
      </c>
      <c r="N7" s="72" t="s">
        <v>9</v>
      </c>
      <c r="O7" s="65" t="s">
        <v>104</v>
      </c>
      <c r="P7" s="66" t="s">
        <v>123</v>
      </c>
      <c r="Q7" s="73"/>
      <c r="R7" s="65" t="s">
        <v>9</v>
      </c>
      <c r="S7" s="65" t="s">
        <v>10</v>
      </c>
      <c r="T7" s="65" t="s">
        <v>10</v>
      </c>
      <c r="U7" s="133" t="s">
        <v>10</v>
      </c>
      <c r="V7" s="72" t="s">
        <v>9</v>
      </c>
      <c r="W7" s="73"/>
      <c r="X7" s="70" t="s">
        <v>10</v>
      </c>
      <c r="Y7" s="66" t="s">
        <v>12</v>
      </c>
      <c r="Z7" s="66" t="s">
        <v>7</v>
      </c>
      <c r="AA7" s="73"/>
      <c r="AB7" s="70" t="s">
        <v>15</v>
      </c>
      <c r="AC7" s="64"/>
      <c r="AD7" s="70" t="s">
        <v>15</v>
      </c>
      <c r="AE7" s="64"/>
      <c r="AF7" s="65" t="s">
        <v>107</v>
      </c>
      <c r="AG7" s="67"/>
      <c r="AH7" s="64"/>
      <c r="AI7" s="70" t="s">
        <v>108</v>
      </c>
      <c r="AJ7" s="67"/>
      <c r="AK7" s="64"/>
      <c r="AL7" s="70" t="s">
        <v>108</v>
      </c>
      <c r="AM7" s="67"/>
      <c r="AN7" s="64"/>
      <c r="AO7" s="70" t="s">
        <v>107</v>
      </c>
      <c r="AP7" s="67"/>
      <c r="AQ7" s="73"/>
      <c r="AR7" s="68" t="s">
        <v>19</v>
      </c>
      <c r="AS7" s="68" t="s">
        <v>19</v>
      </c>
      <c r="AT7" s="68" t="s">
        <v>19</v>
      </c>
      <c r="AU7" s="64"/>
      <c r="AV7" s="56"/>
      <c r="AW7" s="90"/>
    </row>
    <row r="8" spans="2:49" s="43" customFormat="1" ht="5" customHeight="1" x14ac:dyDescent="0.2">
      <c r="B8" s="89"/>
      <c r="C8" s="73"/>
      <c r="D8" s="73"/>
      <c r="E8" s="73"/>
      <c r="F8" s="73"/>
      <c r="G8" s="73"/>
      <c r="H8" s="73"/>
      <c r="I8" s="73"/>
      <c r="J8" s="73"/>
      <c r="K8" s="73"/>
      <c r="L8" s="73"/>
      <c r="M8" s="73"/>
      <c r="N8" s="73"/>
      <c r="O8" s="73"/>
      <c r="P8" s="73"/>
      <c r="Q8" s="73"/>
      <c r="R8" s="73"/>
      <c r="S8" s="73"/>
      <c r="T8" s="73"/>
      <c r="U8" s="74"/>
      <c r="V8" s="74"/>
      <c r="W8" s="73"/>
      <c r="X8" s="73"/>
      <c r="Y8" s="73"/>
      <c r="Z8" s="75"/>
      <c r="AA8" s="73"/>
      <c r="AB8" s="73"/>
      <c r="AC8" s="73"/>
      <c r="AD8" s="73"/>
      <c r="AE8" s="73"/>
      <c r="AF8" s="73"/>
      <c r="AG8" s="73"/>
      <c r="AH8" s="73"/>
      <c r="AI8" s="73"/>
      <c r="AJ8" s="73"/>
      <c r="AK8" s="73"/>
      <c r="AL8" s="73"/>
      <c r="AM8" s="73"/>
      <c r="AN8" s="73"/>
      <c r="AO8" s="73"/>
      <c r="AP8" s="73"/>
      <c r="AQ8" s="73"/>
      <c r="AR8" s="73"/>
      <c r="AS8" s="73"/>
      <c r="AT8" s="73"/>
      <c r="AU8" s="73"/>
      <c r="AV8" s="73"/>
      <c r="AW8" s="108"/>
    </row>
    <row r="9" spans="2:49" s="44" customFormat="1" x14ac:dyDescent="0.2">
      <c r="B9" s="89"/>
      <c r="C9" s="44" t="s">
        <v>42</v>
      </c>
      <c r="D9" s="44">
        <v>2015</v>
      </c>
      <c r="E9" s="44" t="s">
        <v>23</v>
      </c>
      <c r="F9" s="44" t="s">
        <v>43</v>
      </c>
      <c r="G9" s="44" t="s">
        <v>44</v>
      </c>
      <c r="I9" s="45">
        <v>206743</v>
      </c>
      <c r="J9" s="45"/>
      <c r="K9" s="73"/>
      <c r="L9" s="44">
        <v>1</v>
      </c>
      <c r="N9" s="47">
        <f t="shared" ref="N9:N24" si="0">IF(L9="",IF(M9="","",M9*GramsPerOz),L9*(GramsPerTroyOz))</f>
        <v>31.103476799999999</v>
      </c>
      <c r="O9" s="48">
        <f>IF(E9="","",VLOOKUP(E9,Metals,5,FALSE))</f>
        <v>19.32</v>
      </c>
      <c r="P9" s="49">
        <f>IF(OR(O9="",N9=""),"",1000*N9/O9)</f>
        <v>1609.9108074534161</v>
      </c>
      <c r="Q9" s="73"/>
      <c r="R9" s="53">
        <v>31.15</v>
      </c>
      <c r="S9" s="48">
        <v>31.98</v>
      </c>
      <c r="T9" s="48">
        <v>2.5299999999999998</v>
      </c>
      <c r="U9" s="134">
        <v>0.26</v>
      </c>
      <c r="V9" s="50">
        <v>1.64</v>
      </c>
      <c r="W9" s="73"/>
      <c r="X9" s="44">
        <f t="shared" ref="X9:X27" si="1">IF(OR(U9="",T9=0),"",T9-2*U9)</f>
        <v>2.0099999999999998</v>
      </c>
      <c r="Y9" s="49">
        <f>IF(S9="","",PI()*POWER(S9/2,2))</f>
        <v>803.24272382910374</v>
      </c>
      <c r="Z9" s="49">
        <f t="shared" ref="Z9:Z27" si="2">IF(OR(Y9="",X9=0),"",Y9*X9)</f>
        <v>1614.5178748964984</v>
      </c>
      <c r="AA9" s="73"/>
      <c r="AB9" s="52">
        <f>IF(OR(R9="",N9=""),"",1-(N9/R9))</f>
        <v>1.4935216693419129E-3</v>
      </c>
      <c r="AC9" s="46"/>
      <c r="AD9" s="52">
        <f>IF(OR(P9="",Z9=""),"",1-(P9/Z9))</f>
        <v>2.8535252007523271E-3</v>
      </c>
      <c r="AE9" s="46"/>
      <c r="AF9" s="48">
        <f>IF(OR(Z9="",O9=""),"",Z9*O9/1000)</f>
        <v>31.192485343000349</v>
      </c>
      <c r="AG9" s="52">
        <f>IF(OR(AF9="",R9=""),"",1-(R9/AF9))</f>
        <v>1.362037764325974E-3</v>
      </c>
      <c r="AH9" s="46"/>
      <c r="AI9" s="47">
        <f>IF(OR(O9="",R9=""),"",R9/O9)</f>
        <v>1.61231884057971</v>
      </c>
      <c r="AJ9" s="52">
        <f>IF(OR(AI9="",V9=""),"",1-(V9/AI9))</f>
        <v>-1.7168539325842724E-2</v>
      </c>
      <c r="AK9" s="46"/>
      <c r="AL9" s="48">
        <f>IF(OR(R9="",Z9=""),"",R9/Z9*1000)</f>
        <v>19.293685430393221</v>
      </c>
      <c r="AM9" s="52">
        <f>IF(OR(AL9="",O9=""),"",1-(O9/AL9))</f>
        <v>-1.3638954414239013E-3</v>
      </c>
      <c r="AN9" s="46"/>
      <c r="AO9" s="48">
        <f>IF(OR(V9="",R9=""),"",R9/V9)</f>
        <v>18.993902439024392</v>
      </c>
      <c r="AP9" s="52">
        <f>IF(OR(AO9="",O9=""),"",1-(O9/AO9))</f>
        <v>-1.7168539325842502E-2</v>
      </c>
      <c r="AQ9" s="73"/>
      <c r="AR9" s="55">
        <f t="shared" ref="AR9:AT29" si="3">IF($R9="","",VLOOKUP(AR$6,Metals,7,FALSE)*$R9/GramsPerOz)</f>
        <v>0.17923912688054749</v>
      </c>
      <c r="AS9" s="55">
        <f t="shared" si="3"/>
        <v>18.811180703110949</v>
      </c>
      <c r="AT9" s="55">
        <f t="shared" si="3"/>
        <v>87.90271356593901</v>
      </c>
      <c r="AU9" s="46"/>
      <c r="AV9" s="56"/>
      <c r="AW9" s="90"/>
    </row>
    <row r="10" spans="2:49" s="44" customFormat="1" x14ac:dyDescent="0.2">
      <c r="B10" s="89"/>
      <c r="C10" s="44" t="s">
        <v>42</v>
      </c>
      <c r="D10" s="44">
        <v>2017</v>
      </c>
      <c r="E10" s="44" t="s">
        <v>23</v>
      </c>
      <c r="F10" s="44" t="s">
        <v>52</v>
      </c>
      <c r="G10" s="44" t="s">
        <v>44</v>
      </c>
      <c r="I10" s="45">
        <v>200000</v>
      </c>
      <c r="J10" s="45"/>
      <c r="K10" s="73"/>
      <c r="L10" s="44">
        <v>0.1</v>
      </c>
      <c r="N10" s="47">
        <f t="shared" si="0"/>
        <v>3.1103476800000003</v>
      </c>
      <c r="O10" s="48">
        <f>IF(E10="","",VLOOKUP(E10,Metals,5,FALSE))</f>
        <v>19.32</v>
      </c>
      <c r="P10" s="49">
        <f>IF(OR(O10="",N10=""),"",1000*N10/O10)</f>
        <v>160.99108074534163</v>
      </c>
      <c r="Q10" s="73"/>
      <c r="R10" s="53">
        <v>3.11</v>
      </c>
      <c r="S10" s="48">
        <v>16</v>
      </c>
      <c r="T10" s="48">
        <v>1.1599999999999999</v>
      </c>
      <c r="U10" s="134">
        <v>0.18</v>
      </c>
      <c r="V10" s="50">
        <v>0.16</v>
      </c>
      <c r="W10" s="73"/>
      <c r="X10" s="44">
        <f t="shared" si="1"/>
        <v>0.79999999999999993</v>
      </c>
      <c r="Y10" s="49">
        <f>IF(S10="","",PI()*POWER(S10/2,2))</f>
        <v>201.06192982974676</v>
      </c>
      <c r="Z10" s="49">
        <f t="shared" si="2"/>
        <v>160.84954386379741</v>
      </c>
      <c r="AA10" s="73"/>
      <c r="AB10" s="52">
        <f>IF(OR(R10="",N10=""),"",1-(N10/R10))</f>
        <v>-1.11794212218852E-4</v>
      </c>
      <c r="AC10" s="46"/>
      <c r="AD10" s="52">
        <f>IF(OR(P10="",Z10=""),"",1-(P10/Z10))</f>
        <v>-8.7993337217096013E-4</v>
      </c>
      <c r="AE10" s="46"/>
      <c r="AF10" s="48">
        <f>IF(OR(Z10="",O10=""),"",Z10*O10/1000)</f>
        <v>3.1076131874485657</v>
      </c>
      <c r="AG10" s="52">
        <f>IF(OR(AF10="",R10=""),"",1-(R10/AF10))</f>
        <v>-7.680532960390174E-4</v>
      </c>
      <c r="AH10" s="46"/>
      <c r="AI10" s="47">
        <f>IF(OR(O10="",R10=""),"",R10/O10)</f>
        <v>0.16097308488612835</v>
      </c>
      <c r="AJ10" s="52">
        <f>IF(OR(AI10="",V10=""),"",1-(V10/AI10))</f>
        <v>6.0450160771703398E-3</v>
      </c>
      <c r="AK10" s="46"/>
      <c r="AL10" s="48">
        <f t="shared" ref="AL10:AL28" si="4">IF(OR(R10="",Z10=""),"",R10/Z10*1000)</f>
        <v>19.33483878967947</v>
      </c>
      <c r="AM10" s="52">
        <f>IF(OR(AL10="",O10=""),"",1-(O10/AL10))</f>
        <v>7.6746384290471426E-4</v>
      </c>
      <c r="AN10" s="46"/>
      <c r="AO10" s="48">
        <f t="shared" ref="AO10:AO28" si="5">IF(OR(V10="",R10=""),"",R10/V10)</f>
        <v>19.4375</v>
      </c>
      <c r="AP10" s="52">
        <f>IF(OR(AO10="",O10=""),"",1-(O10/AO10))</f>
        <v>6.0450160771704509E-3</v>
      </c>
      <c r="AQ10" s="73"/>
      <c r="AR10" s="55">
        <f t="shared" si="3"/>
        <v>1.7895142362712765E-2</v>
      </c>
      <c r="AS10" s="55">
        <f t="shared" si="3"/>
        <v>1.8780986191548972</v>
      </c>
      <c r="AT10" s="55">
        <f t="shared" si="3"/>
        <v>8.7761617717518554</v>
      </c>
      <c r="AU10" s="46"/>
      <c r="AV10" s="56"/>
      <c r="AW10" s="90"/>
    </row>
    <row r="11" spans="2:49" s="44" customFormat="1" x14ac:dyDescent="0.2">
      <c r="B11" s="89"/>
      <c r="C11" s="16" t="s">
        <v>42</v>
      </c>
      <c r="D11" s="16">
        <v>2017</v>
      </c>
      <c r="E11" s="16" t="s">
        <v>21</v>
      </c>
      <c r="F11" s="16" t="s">
        <v>47</v>
      </c>
      <c r="G11" s="16" t="s">
        <v>49</v>
      </c>
      <c r="H11" s="16"/>
      <c r="I11" s="17">
        <v>500000</v>
      </c>
      <c r="J11" s="17"/>
      <c r="K11" s="28"/>
      <c r="L11" s="16">
        <v>1</v>
      </c>
      <c r="M11" s="16"/>
      <c r="N11" s="18">
        <f t="shared" si="0"/>
        <v>31.103476799999999</v>
      </c>
      <c r="O11" s="19">
        <f>IF(E11="","",VLOOKUP(E11,Metals,5,FALSE))</f>
        <v>10.49</v>
      </c>
      <c r="P11" s="20">
        <f>IF(OR(O11="",N11=""),"",1000*N11/O11)</f>
        <v>2965.0597521448999</v>
      </c>
      <c r="Q11" s="28"/>
      <c r="R11" s="36">
        <v>31.42</v>
      </c>
      <c r="S11" s="19">
        <v>40.53</v>
      </c>
      <c r="T11" s="19">
        <v>3.1</v>
      </c>
      <c r="U11" s="135">
        <v>0.39</v>
      </c>
      <c r="V11" s="41">
        <v>2.99</v>
      </c>
      <c r="W11" s="28"/>
      <c r="X11" s="16">
        <f t="shared" si="1"/>
        <v>2.3200000000000003</v>
      </c>
      <c r="Y11" s="20">
        <f>IF(S11="","",PI()*POWER(S11/2,2))</f>
        <v>1290.1585619080674</v>
      </c>
      <c r="Z11" s="20">
        <f t="shared" si="2"/>
        <v>2993.167863626717</v>
      </c>
      <c r="AA11" s="28"/>
      <c r="AB11" s="31">
        <f>IF(OR(R11="",N11=""),"",1-(N11/R11))</f>
        <v>1.0073940165499784E-2</v>
      </c>
      <c r="AC11" s="39"/>
      <c r="AD11" s="31">
        <f>IF(OR(P11="",Z11=""),"",1-(P11/Z11))</f>
        <v>9.3907568043175571E-3</v>
      </c>
      <c r="AE11" s="39"/>
      <c r="AF11" s="19">
        <f>IF(OR(Z11="",O11=""),"",Z11*O11/1000)</f>
        <v>31.398330889444264</v>
      </c>
      <c r="AG11" s="31">
        <f>IF(OR(AF11="",R11=""),"",1-(R11/AF11))</f>
        <v>-6.9013574740761641E-4</v>
      </c>
      <c r="AH11" s="39"/>
      <c r="AI11" s="18">
        <f>IF(OR(O11="",R11=""),"",R11/O11)</f>
        <v>2.9952335557673977</v>
      </c>
      <c r="AJ11" s="31">
        <f>IF(OR(AI11="",V11=""),"",1-(V11/AI11))</f>
        <v>1.7472947167409547E-3</v>
      </c>
      <c r="AK11" s="39"/>
      <c r="AL11" s="19">
        <f t="shared" si="4"/>
        <v>10.497239523990306</v>
      </c>
      <c r="AM11" s="31">
        <f>IF(OR(AL11="",O11=""),"",1-(O11/AL11))</f>
        <v>6.8965978853396948E-4</v>
      </c>
      <c r="AN11" s="39"/>
      <c r="AO11" s="19">
        <f t="shared" si="5"/>
        <v>10.508361204013378</v>
      </c>
      <c r="AP11" s="31">
        <f>IF(OR(AO11="",O11=""),"",1-(O11/AO11))</f>
        <v>1.7472947167408437E-3</v>
      </c>
      <c r="AQ11" s="28"/>
      <c r="AR11" s="21">
        <f t="shared" si="3"/>
        <v>0.18079272444901454</v>
      </c>
      <c r="AS11" s="21">
        <f t="shared" si="3"/>
        <v>18.97423106554562</v>
      </c>
      <c r="AT11" s="21">
        <f t="shared" si="3"/>
        <v>88.664631147409438</v>
      </c>
      <c r="AU11" s="39"/>
      <c r="AV11" s="35"/>
      <c r="AW11" s="107"/>
    </row>
    <row r="12" spans="2:49" s="44" customFormat="1" x14ac:dyDescent="0.2">
      <c r="B12" s="89"/>
      <c r="C12" s="44" t="s">
        <v>4</v>
      </c>
      <c r="D12" s="44">
        <v>2015</v>
      </c>
      <c r="E12" s="44" t="s">
        <v>21</v>
      </c>
      <c r="F12" s="44" t="s">
        <v>5</v>
      </c>
      <c r="G12" s="44" t="s">
        <v>6</v>
      </c>
      <c r="I12" s="45">
        <v>50000</v>
      </c>
      <c r="J12" s="45"/>
      <c r="K12" s="73"/>
      <c r="L12" s="44">
        <v>1</v>
      </c>
      <c r="N12" s="47">
        <f t="shared" si="0"/>
        <v>31.103476799999999</v>
      </c>
      <c r="O12" s="48">
        <f>IF(E12="","",VLOOKUP(E12,Metals,5,FALSE))</f>
        <v>10.49</v>
      </c>
      <c r="P12" s="49">
        <f>IF(OR(O12="",N12=""),"",1000*N12/O12)</f>
        <v>2965.0597521448999</v>
      </c>
      <c r="Q12" s="73"/>
      <c r="R12" s="53">
        <v>31.17</v>
      </c>
      <c r="S12" s="48">
        <v>37.950000000000003</v>
      </c>
      <c r="T12" s="48">
        <v>3.17</v>
      </c>
      <c r="U12" s="134">
        <v>0.28000000000000003</v>
      </c>
      <c r="V12" s="50">
        <v>2.98</v>
      </c>
      <c r="W12" s="73"/>
      <c r="X12" s="44">
        <f t="shared" si="1"/>
        <v>2.61</v>
      </c>
      <c r="Y12" s="49">
        <f>IF(S12="","",PI()*POWER(S12/2,2))</f>
        <v>1131.1323984204137</v>
      </c>
      <c r="Z12" s="49">
        <f t="shared" si="2"/>
        <v>2952.2555598772797</v>
      </c>
      <c r="AA12" s="73"/>
      <c r="AB12" s="52">
        <f>IF(OR(R12="",N12=""),"",1-(N12/R12))</f>
        <v>2.1342059672763147E-3</v>
      </c>
      <c r="AC12" s="46"/>
      <c r="AD12" s="52">
        <f>IF(OR(P12="",Z12=""),"",1-(P12/Z12))</f>
        <v>-4.3370880358855057E-3</v>
      </c>
      <c r="AE12" s="46"/>
      <c r="AF12" s="48">
        <f>IF(OR(Z12="",O12=""),"",Z12*O12/1000)</f>
        <v>30.969160823112663</v>
      </c>
      <c r="AG12" s="52">
        <f>IF(OR(AF12="",R12=""),"",1-(R12/AF12))</f>
        <v>-6.4851346161582946E-3</v>
      </c>
      <c r="AH12" s="46"/>
      <c r="AI12" s="47">
        <f>IF(OR(O12="",R12=""),"",R12/O12)</f>
        <v>2.9714013346043853</v>
      </c>
      <c r="AJ12" s="52">
        <f>IF(OR(AI12="",V12=""),"",1-(V12/AI12))</f>
        <v>-2.8938081488609768E-3</v>
      </c>
      <c r="AK12" s="46"/>
      <c r="AL12" s="48">
        <f t="shared" si="4"/>
        <v>10.558029062123499</v>
      </c>
      <c r="AM12" s="52">
        <f>IF(OR(AL12="",O12=""),"",1-(O12/AL12))</f>
        <v>6.4433486328949741E-3</v>
      </c>
      <c r="AN12" s="46"/>
      <c r="AO12" s="48">
        <f t="shared" si="5"/>
        <v>10.459731543624162</v>
      </c>
      <c r="AP12" s="52">
        <f>IF(OR(AO12="",O12=""),"",1-(O12/AO12))</f>
        <v>-2.8938081488609768E-3</v>
      </c>
      <c r="AQ12" s="73"/>
      <c r="AR12" s="55">
        <f t="shared" si="3"/>
        <v>0.17935420818191544</v>
      </c>
      <c r="AS12" s="55">
        <f t="shared" si="3"/>
        <v>18.823258507735737</v>
      </c>
      <c r="AT12" s="55">
        <f t="shared" si="3"/>
        <v>87.959151905307195</v>
      </c>
      <c r="AU12" s="46"/>
      <c r="AV12" s="56"/>
      <c r="AW12" s="90"/>
    </row>
    <row r="13" spans="2:49" s="44" customFormat="1" x14ac:dyDescent="0.2">
      <c r="B13" s="89"/>
      <c r="C13" s="44" t="s">
        <v>4</v>
      </c>
      <c r="D13" s="44">
        <v>2015</v>
      </c>
      <c r="E13" s="44" t="s">
        <v>23</v>
      </c>
      <c r="F13" s="44" t="s">
        <v>68</v>
      </c>
      <c r="G13" s="44" t="s">
        <v>67</v>
      </c>
      <c r="I13" s="45">
        <v>10000</v>
      </c>
      <c r="J13" s="45"/>
      <c r="K13" s="73"/>
      <c r="L13" s="44">
        <v>0.1</v>
      </c>
      <c r="N13" s="47">
        <f t="shared" si="0"/>
        <v>3.1103476800000003</v>
      </c>
      <c r="O13" s="48">
        <f>IF(E13="","",VLOOKUP(E13,Metals,5,FALSE))</f>
        <v>19.32</v>
      </c>
      <c r="P13" s="49">
        <f>IF(OR(O13="",N13=""),"",1000*N13/O13)</f>
        <v>160.99108074534163</v>
      </c>
      <c r="Q13" s="73"/>
      <c r="R13" s="53">
        <v>3.14</v>
      </c>
      <c r="S13" s="48">
        <v>15.97</v>
      </c>
      <c r="T13" s="48">
        <v>1.1299999999999999</v>
      </c>
      <c r="U13" s="134">
        <v>0.16</v>
      </c>
      <c r="V13" s="50">
        <v>0.16</v>
      </c>
      <c r="W13" s="73"/>
      <c r="X13" s="44">
        <f t="shared" si="1"/>
        <v>0.80999999999999983</v>
      </c>
      <c r="Y13" s="49">
        <f>IF(S13="","",PI()*POWER(S13/2,2))</f>
        <v>200.30865445123229</v>
      </c>
      <c r="Z13" s="49">
        <f t="shared" si="2"/>
        <v>162.25001010549812</v>
      </c>
      <c r="AA13" s="73"/>
      <c r="AB13" s="52">
        <f>IF(OR(R13="",N13=""),"",1-(N13/R13))</f>
        <v>9.4434140127388488E-3</v>
      </c>
      <c r="AC13" s="46"/>
      <c r="AD13" s="52">
        <f>IF(OR(P13="",Z13=""),"",1-(P13/Z13))</f>
        <v>7.7591943404989872E-3</v>
      </c>
      <c r="AE13" s="46"/>
      <c r="AF13" s="48">
        <f>IF(OR(Z13="",O13=""),"",Z13*O13/1000)</f>
        <v>3.1346701952382237</v>
      </c>
      <c r="AG13" s="52">
        <f>IF(OR(AF13="",R13=""),"",1-(R13/AF13))</f>
        <v>-1.700276083229646E-3</v>
      </c>
      <c r="AH13" s="46"/>
      <c r="AI13" s="47">
        <f>IF(OR(O13="",R13=""),"",R13/O13)</f>
        <v>0.16252587991718426</v>
      </c>
      <c r="AJ13" s="52">
        <f>IF(OR(AI13="",V13=""),"",1-(V13/AI13))</f>
        <v>1.5541401273885258E-2</v>
      </c>
      <c r="AK13" s="46"/>
      <c r="AL13" s="48">
        <f t="shared" si="4"/>
        <v>19.352849333927999</v>
      </c>
      <c r="AM13" s="52">
        <f>IF(OR(AL13="",O13=""),"",1-(O13/AL13))</f>
        <v>1.6973900515212526E-3</v>
      </c>
      <c r="AN13" s="46"/>
      <c r="AO13" s="48">
        <f t="shared" si="5"/>
        <v>19.625</v>
      </c>
      <c r="AP13" s="52">
        <f>IF(OR(AO13="",O13=""),"",1-(O13/AO13))</f>
        <v>1.5541401273885369E-2</v>
      </c>
      <c r="AQ13" s="73"/>
      <c r="AR13" s="55">
        <f t="shared" si="3"/>
        <v>1.8067764314764659E-2</v>
      </c>
      <c r="AS13" s="55">
        <f t="shared" si="3"/>
        <v>1.8962153260920829</v>
      </c>
      <c r="AT13" s="55">
        <f t="shared" si="3"/>
        <v>8.860819280804126</v>
      </c>
      <c r="AU13" s="46"/>
      <c r="AV13" s="56"/>
      <c r="AW13" s="90"/>
    </row>
    <row r="14" spans="2:49" s="44" customFormat="1" x14ac:dyDescent="0.2">
      <c r="B14" s="89"/>
      <c r="C14" s="16" t="s">
        <v>4</v>
      </c>
      <c r="D14" s="16">
        <v>2015</v>
      </c>
      <c r="E14" s="16" t="s">
        <v>23</v>
      </c>
      <c r="F14" s="16" t="s">
        <v>5</v>
      </c>
      <c r="G14" s="16" t="s">
        <v>6</v>
      </c>
      <c r="H14" s="16"/>
      <c r="I14" s="17">
        <v>10000</v>
      </c>
      <c r="J14" s="17"/>
      <c r="K14" s="28"/>
      <c r="L14" s="16">
        <v>0.1</v>
      </c>
      <c r="M14" s="16"/>
      <c r="N14" s="18">
        <f t="shared" si="0"/>
        <v>3.1103476800000003</v>
      </c>
      <c r="O14" s="19">
        <f>IF(E14="","",VLOOKUP(E14,Metals,5,FALSE))</f>
        <v>19.32</v>
      </c>
      <c r="P14" s="20">
        <f>IF(OR(O14="",N14=""),"",1000*N14/O14)</f>
        <v>160.99108074534163</v>
      </c>
      <c r="Q14" s="28"/>
      <c r="R14" s="36">
        <v>3.16</v>
      </c>
      <c r="S14" s="19">
        <v>16.03</v>
      </c>
      <c r="T14" s="19">
        <v>1.06</v>
      </c>
      <c r="U14" s="135">
        <v>0.13</v>
      </c>
      <c r="V14" s="41">
        <v>0.16</v>
      </c>
      <c r="W14" s="28"/>
      <c r="X14" s="16">
        <f t="shared" si="1"/>
        <v>0.8</v>
      </c>
      <c r="Y14" s="20">
        <f>IF(S14="","",PI()*POWER(S14/2,2))</f>
        <v>201.81661892495541</v>
      </c>
      <c r="Z14" s="20">
        <f t="shared" si="2"/>
        <v>161.45329513996433</v>
      </c>
      <c r="AA14" s="28"/>
      <c r="AB14" s="31">
        <f>IF(OR(R14="",N14=""),"",1-(N14/R14))</f>
        <v>1.5712759493670791E-2</v>
      </c>
      <c r="AC14" s="39"/>
      <c r="AD14" s="31">
        <f>IF(OR(P14="",Z14=""),"",1-(P14/Z14))</f>
        <v>2.8628365511028653E-3</v>
      </c>
      <c r="AE14" s="39"/>
      <c r="AF14" s="19">
        <f>IF(OR(Z14="",O14=""),"",Z14*O14/1000)</f>
        <v>3.1192776621041109</v>
      </c>
      <c r="AG14" s="31">
        <f>IF(OR(AF14="",R14=""),"",1-(R14/AF14))</f>
        <v>-1.3055053864111654E-2</v>
      </c>
      <c r="AH14" s="39"/>
      <c r="AI14" s="18">
        <f>IF(OR(O14="",R14=""),"",R14/O14)</f>
        <v>0.16356107660455488</v>
      </c>
      <c r="AJ14" s="31">
        <f>IF(OR(AI14="",V14=""),"",1-(V14/AI14))</f>
        <v>2.1772151898734271E-2</v>
      </c>
      <c r="AK14" s="39"/>
      <c r="AL14" s="19">
        <f t="shared" si="4"/>
        <v>19.572223640654638</v>
      </c>
      <c r="AM14" s="31">
        <f>IF(OR(AL14="",O14=""),"",1-(O14/AL14))</f>
        <v>1.2886815789838413E-2</v>
      </c>
      <c r="AN14" s="39"/>
      <c r="AO14" s="19">
        <f t="shared" si="5"/>
        <v>19.75</v>
      </c>
      <c r="AP14" s="31">
        <f>IF(OR(AO14="",O14=""),"",1-(O14/AO14))</f>
        <v>2.177215189873416E-2</v>
      </c>
      <c r="AQ14" s="28"/>
      <c r="AR14" s="21">
        <f t="shared" si="3"/>
        <v>1.8182845616132589E-2</v>
      </c>
      <c r="AS14" s="21">
        <f t="shared" si="3"/>
        <v>1.9082931307168731</v>
      </c>
      <c r="AT14" s="21">
        <f t="shared" si="3"/>
        <v>8.9172576201723039</v>
      </c>
      <c r="AU14" s="39"/>
      <c r="AV14" s="35"/>
      <c r="AW14" s="90"/>
    </row>
    <row r="15" spans="2:49" s="44" customFormat="1" x14ac:dyDescent="0.2">
      <c r="B15" s="89"/>
      <c r="C15" s="44" t="s">
        <v>0</v>
      </c>
      <c r="D15" s="44">
        <v>1997</v>
      </c>
      <c r="E15" s="44" t="s">
        <v>21</v>
      </c>
      <c r="F15" s="44" t="s">
        <v>1</v>
      </c>
      <c r="G15" s="44" t="s">
        <v>3</v>
      </c>
      <c r="I15" s="45">
        <v>8000</v>
      </c>
      <c r="J15" s="45"/>
      <c r="K15" s="73"/>
      <c r="L15" s="44">
        <v>1</v>
      </c>
      <c r="N15" s="47">
        <f t="shared" si="0"/>
        <v>31.103476799999999</v>
      </c>
      <c r="O15" s="48">
        <f>IF(E15="","",VLOOKUP(E15,Metals,5,FALSE))</f>
        <v>10.49</v>
      </c>
      <c r="P15" s="49">
        <f>IF(OR(O15="",N15=""),"",1000*N15/O15)</f>
        <v>2965.0597521448999</v>
      </c>
      <c r="Q15" s="73"/>
      <c r="R15" s="53">
        <v>31.48</v>
      </c>
      <c r="S15" s="48">
        <v>39.85</v>
      </c>
      <c r="T15" s="48">
        <v>3.33</v>
      </c>
      <c r="U15" s="134">
        <v>0.46</v>
      </c>
      <c r="V15" s="50">
        <v>2.98</v>
      </c>
      <c r="W15" s="73"/>
      <c r="X15" s="44">
        <f t="shared" si="1"/>
        <v>2.41</v>
      </c>
      <c r="Y15" s="49">
        <f>IF(S15="","",PI()*POWER(S15/2,2))</f>
        <v>1247.2299549338243</v>
      </c>
      <c r="Z15" s="49">
        <f t="shared" si="2"/>
        <v>3005.8241913905167</v>
      </c>
      <c r="AA15" s="73"/>
      <c r="AB15" s="52">
        <f>IF(OR(R15="",N15=""),"",1-(N15/R15))</f>
        <v>1.1960711562897131E-2</v>
      </c>
      <c r="AC15" s="46"/>
      <c r="AD15" s="52">
        <f>IF(OR(P15="",Z15=""),"",1-(P15/Z15))</f>
        <v>1.3561817541550503E-2</v>
      </c>
      <c r="AE15" s="46"/>
      <c r="AF15" s="48">
        <f>IF(OR(Z15="",O15=""),"",Z15*O15/1000)</f>
        <v>31.531095767686523</v>
      </c>
      <c r="AG15" s="52">
        <f>IF(OR(AF15="",R15=""),"",1-(R15/AF15))</f>
        <v>1.6204881702489571E-3</v>
      </c>
      <c r="AH15" s="46"/>
      <c r="AI15" s="47">
        <f>IF(OR(O15="",R15=""),"",R15/O15)</f>
        <v>3.0009532888465205</v>
      </c>
      <c r="AJ15" s="52">
        <f>IF(OR(AI15="",V15=""),"",1-(V15/AI15))</f>
        <v>6.9822109275730071E-3</v>
      </c>
      <c r="AK15" s="46"/>
      <c r="AL15" s="48">
        <f t="shared" si="4"/>
        <v>10.47300107909409</v>
      </c>
      <c r="AM15" s="52">
        <f>IF(OR(AL15="",O15=""),"",1-(O15/AL15))</f>
        <v>-1.623118414438407E-3</v>
      </c>
      <c r="AN15" s="46"/>
      <c r="AO15" s="48">
        <f t="shared" si="5"/>
        <v>10.563758389261745</v>
      </c>
      <c r="AP15" s="52">
        <f>IF(OR(AO15="",O15=""),"",1-(O15/AO15))</f>
        <v>6.9822109275730071E-3</v>
      </c>
      <c r="AQ15" s="73"/>
      <c r="AR15" s="55">
        <f t="shared" si="3"/>
        <v>0.18113796835311832</v>
      </c>
      <c r="AS15" s="55">
        <f t="shared" si="3"/>
        <v>19.010464479419991</v>
      </c>
      <c r="AT15" s="55">
        <f t="shared" si="3"/>
        <v>88.833946165513964</v>
      </c>
      <c r="AU15" s="46"/>
      <c r="AV15" s="56"/>
      <c r="AW15" s="90"/>
    </row>
    <row r="16" spans="2:49" s="44" customFormat="1" x14ac:dyDescent="0.2">
      <c r="B16" s="89"/>
      <c r="C16" s="16" t="s">
        <v>0</v>
      </c>
      <c r="D16" s="16">
        <v>2013</v>
      </c>
      <c r="E16" s="129" t="s">
        <v>46</v>
      </c>
      <c r="F16" s="16" t="s">
        <v>1</v>
      </c>
      <c r="G16" s="16" t="s">
        <v>2</v>
      </c>
      <c r="H16" s="129" t="s">
        <v>61</v>
      </c>
      <c r="I16" s="17" t="s">
        <v>30</v>
      </c>
      <c r="J16" s="17"/>
      <c r="K16" s="28"/>
      <c r="L16" s="16">
        <v>1</v>
      </c>
      <c r="M16" s="16"/>
      <c r="N16" s="18">
        <f t="shared" si="0"/>
        <v>31.103476799999999</v>
      </c>
      <c r="O16" s="19">
        <f>IF(E16="","",VLOOKUP(E16,Metals,5,FALSE))</f>
        <v>7.3250000000000002</v>
      </c>
      <c r="P16" s="20">
        <f>IF(OR(O16="",N16=""),"",1000*N16/O16)</f>
        <v>4246.2084368600681</v>
      </c>
      <c r="Q16" s="28"/>
      <c r="R16" s="36">
        <v>30.22</v>
      </c>
      <c r="S16" s="19">
        <v>39.94</v>
      </c>
      <c r="T16" s="128">
        <v>3.53</v>
      </c>
      <c r="U16" s="135">
        <v>0.1</v>
      </c>
      <c r="V16" s="41">
        <v>4.1500000000000004</v>
      </c>
      <c r="W16" s="28"/>
      <c r="X16" s="16">
        <f t="shared" si="1"/>
        <v>3.3299999999999996</v>
      </c>
      <c r="Y16" s="20">
        <f>IF(S16="","",PI()*POWER(S16/2,2))</f>
        <v>1252.8699776849976</v>
      </c>
      <c r="Z16" s="20">
        <f t="shared" si="2"/>
        <v>4172.0570256910414</v>
      </c>
      <c r="AA16" s="28"/>
      <c r="AB16" s="31">
        <f>IF(OR(R16="",N16=""),"",1-(N16/R16))</f>
        <v>-2.9234837855724782E-2</v>
      </c>
      <c r="AC16" s="39"/>
      <c r="AD16" s="31">
        <f>IF(OR(P16="",Z16=""),"",1-(P16/Z16))</f>
        <v>-1.7773345549308317E-2</v>
      </c>
      <c r="AE16" s="39"/>
      <c r="AF16" s="19">
        <f>IF(OR(Z16="",O16=""),"",Z16*O16/1000)</f>
        <v>30.56031771318688</v>
      </c>
      <c r="AG16" s="31">
        <f>IF(OR(AF16="",R16=""),"",1-(R16/AF16))</f>
        <v>1.1135935050833323E-2</v>
      </c>
      <c r="AH16" s="39"/>
      <c r="AI16" s="18">
        <f>IF(OR(O16="",R16=""),"",R16/O16)</f>
        <v>4.1255972696245733</v>
      </c>
      <c r="AJ16" s="31">
        <f>IF(OR(AI16="",V16=""),"",1-(V16/AI16))</f>
        <v>-5.9149569821310699E-3</v>
      </c>
      <c r="AK16" s="39"/>
      <c r="AL16" s="19">
        <f t="shared" si="4"/>
        <v>7.2434292757526464</v>
      </c>
      <c r="AM16" s="31">
        <f>IF(OR(AL16="",O16=""),"",1-(O16/AL16))</f>
        <v>-1.1261340608434089E-2</v>
      </c>
      <c r="AN16" s="39"/>
      <c r="AO16" s="19">
        <f t="shared" si="5"/>
        <v>7.2819277108433722</v>
      </c>
      <c r="AP16" s="31">
        <f>IF(OR(AO16="",O16=""),"",1-(O16/AO16))</f>
        <v>-5.914956982131292E-3</v>
      </c>
      <c r="AQ16" s="28"/>
      <c r="AR16" s="21">
        <f t="shared" si="3"/>
        <v>0.17388784636693883</v>
      </c>
      <c r="AS16" s="21">
        <f t="shared" si="3"/>
        <v>18.249562788058196</v>
      </c>
      <c r="AT16" s="21">
        <f t="shared" si="3"/>
        <v>85.278330785318673</v>
      </c>
      <c r="AU16" s="39"/>
      <c r="AV16" s="35"/>
      <c r="AW16" s="90"/>
    </row>
    <row r="17" spans="2:49" s="44" customFormat="1" x14ac:dyDescent="0.2">
      <c r="B17" s="89"/>
      <c r="C17" s="44" t="s">
        <v>99</v>
      </c>
      <c r="D17" s="44">
        <v>1886</v>
      </c>
      <c r="E17" s="44" t="s">
        <v>93</v>
      </c>
      <c r="F17" s="44" t="s">
        <v>100</v>
      </c>
      <c r="G17" s="44" t="s">
        <v>101</v>
      </c>
      <c r="I17" s="45"/>
      <c r="J17" s="45"/>
      <c r="K17" s="73"/>
      <c r="N17" s="47">
        <v>26.96</v>
      </c>
      <c r="O17" s="48">
        <f>IF(E17="","",VLOOKUP(E17,Metals,5,FALSE))</f>
        <v>10.334</v>
      </c>
      <c r="P17" s="49">
        <f>IF(OR(O17="",N17=""),"",1000*N17/O17)</f>
        <v>2608.8639442616604</v>
      </c>
      <c r="Q17" s="73"/>
      <c r="R17" s="53">
        <v>26.91</v>
      </c>
      <c r="S17" s="48">
        <v>38.64</v>
      </c>
      <c r="T17" s="48">
        <v>2.65</v>
      </c>
      <c r="U17" s="134">
        <v>0.22</v>
      </c>
      <c r="V17" s="50">
        <f>81.68-79.04</f>
        <v>2.6400000000000006</v>
      </c>
      <c r="W17" s="73"/>
      <c r="X17" s="44">
        <f t="shared" si="1"/>
        <v>2.21</v>
      </c>
      <c r="Y17" s="49">
        <f>IF(S17="","",PI()*POWER(S17/2,2))</f>
        <v>1172.6384137012949</v>
      </c>
      <c r="Z17" s="49">
        <f t="shared" si="2"/>
        <v>2591.5308942798615</v>
      </c>
      <c r="AA17" s="73"/>
      <c r="AB17" s="52">
        <f>IF(OR(R17="",N17=""),"",1-(N17/R17))</f>
        <v>-1.85804533630618E-3</v>
      </c>
      <c r="AC17" s="46"/>
      <c r="AD17" s="52">
        <f>IF(OR(P17="",Z17=""),"",1-(P17/Z17))</f>
        <v>-6.688343951468001E-3</v>
      </c>
      <c r="AE17" s="46"/>
      <c r="AF17" s="48">
        <f>IF(OR(Z17="",O17=""),"",Z17*O17/1000)</f>
        <v>26.780880261488086</v>
      </c>
      <c r="AG17" s="52">
        <f>IF(OR(AF17="",R17=""),"",1-(R17/AF17))</f>
        <v>-4.8213403462167292E-3</v>
      </c>
      <c r="AH17" s="46"/>
      <c r="AI17" s="47">
        <f>IF(OR(O17="",R17=""),"",R17/O17)</f>
        <v>2.6040255467389204</v>
      </c>
      <c r="AJ17" s="52">
        <f>IF(OR(AI17="",V17=""),"",1-(V17/AI17))</f>
        <v>-1.3814938684503897E-2</v>
      </c>
      <c r="AK17" s="46"/>
      <c r="AL17" s="48">
        <f>IF(OR(R17="",Z17=""),"",R17/Z17*1000)</f>
        <v>10.383823731137804</v>
      </c>
      <c r="AM17" s="52">
        <f>IF(OR(AL17="",O17=""),"",1-(O17/AL17))</f>
        <v>4.7982065593427103E-3</v>
      </c>
      <c r="AN17" s="46"/>
      <c r="AO17" s="48">
        <f>IF(OR(V17="",R17=""),"",R17/V17)</f>
        <v>10.193181818181817</v>
      </c>
      <c r="AP17" s="52">
        <f>IF(OR(AO17="",O17=""),"",1-(O17/AO17))</f>
        <v>-1.3814938684504119E-2</v>
      </c>
      <c r="AQ17" s="73"/>
      <c r="AR17" s="55">
        <f>IF($R17="","",VLOOKUP(AR$6,Metals,7,FALSE)*$R17/GramsPerOz)</f>
        <v>0.15484189099054682</v>
      </c>
      <c r="AS17" s="55">
        <f>IF($R17="","",VLOOKUP(AS$6,Metals,7,FALSE)*$R17/GramsPerOz)</f>
        <v>16.250686122655399</v>
      </c>
      <c r="AT17" s="55">
        <f>IF($R17="","",VLOOKUP(AT$6,Metals,7,FALSE)*$R17/GramsPerOz)</f>
        <v>75.937785619885034</v>
      </c>
      <c r="AU17" s="46"/>
      <c r="AV17" s="56"/>
      <c r="AW17" s="90"/>
    </row>
    <row r="18" spans="2:49" s="44" customFormat="1" x14ac:dyDescent="0.2">
      <c r="B18" s="89"/>
      <c r="C18" s="44" t="s">
        <v>99</v>
      </c>
      <c r="D18" s="44">
        <v>1886</v>
      </c>
      <c r="E18" s="44" t="s">
        <v>93</v>
      </c>
      <c r="F18" s="44" t="s">
        <v>100</v>
      </c>
      <c r="G18" s="44" t="s">
        <v>101</v>
      </c>
      <c r="I18" s="45"/>
      <c r="J18" s="45"/>
      <c r="K18" s="73"/>
      <c r="N18" s="47">
        <v>26.96</v>
      </c>
      <c r="O18" s="48">
        <f>IF(E18="","",VLOOKUP(E18,Metals,5,FALSE))</f>
        <v>10.334</v>
      </c>
      <c r="P18" s="49">
        <f>IF(OR(O18="",N18=""),"",1000*N18/O18)</f>
        <v>2608.8639442616604</v>
      </c>
      <c r="Q18" s="73"/>
      <c r="R18" s="53">
        <v>26.91</v>
      </c>
      <c r="S18" s="48">
        <v>38.72</v>
      </c>
      <c r="T18" s="48">
        <v>2.65</v>
      </c>
      <c r="U18" s="134">
        <v>0.22</v>
      </c>
      <c r="V18" s="50">
        <v>2.62</v>
      </c>
      <c r="W18" s="73"/>
      <c r="X18" s="44">
        <f t="shared" si="1"/>
        <v>2.21</v>
      </c>
      <c r="Y18" s="49">
        <f>IF(S18="","",PI()*POWER(S18/2,2))</f>
        <v>1177.4990858549288</v>
      </c>
      <c r="Z18" s="49">
        <f t="shared" si="2"/>
        <v>2602.2729797393927</v>
      </c>
      <c r="AA18" s="73"/>
      <c r="AB18" s="52">
        <f>IF(OR(R18="",N18=""),"",1-(N18/R18))</f>
        <v>-1.85804533630618E-3</v>
      </c>
      <c r="AC18" s="46"/>
      <c r="AD18" s="52">
        <f>IF(OR(P18="",Z18=""),"",1-(P18/Z18))</f>
        <v>-2.5327721471126718E-3</v>
      </c>
      <c r="AE18" s="46"/>
      <c r="AF18" s="48">
        <f>IF(OR(Z18="",O18=""),"",Z18*O18/1000)</f>
        <v>26.891888972626884</v>
      </c>
      <c r="AG18" s="52">
        <f>IF(OR(AF18="",R18=""),"",1-(R18/AF18))</f>
        <v>-6.7347546286367077E-4</v>
      </c>
      <c r="AH18" s="46"/>
      <c r="AI18" s="47">
        <f>IF(OR(O18="",R18=""),"",R18/O18)</f>
        <v>2.6040255467389204</v>
      </c>
      <c r="AJ18" s="52">
        <f>IF(OR(AI18="",V18=""),"",1-(V18/AI18))</f>
        <v>-6.1345224823485811E-3</v>
      </c>
      <c r="AK18" s="46"/>
      <c r="AL18" s="48">
        <f>IF(OR(R18="",Z18=""),"",R18/Z18*1000)</f>
        <v>10.340959695433233</v>
      </c>
      <c r="AM18" s="52">
        <f>IF(OR(AL18="",O18=""),"",1-(O18/AL18))</f>
        <v>6.7302219892673154E-4</v>
      </c>
      <c r="AN18" s="46"/>
      <c r="AO18" s="48">
        <f>IF(OR(V18="",R18=""),"",R18/V18)</f>
        <v>10.270992366412214</v>
      </c>
      <c r="AP18" s="52">
        <f>IF(OR(AO18="",O18=""),"",1-(O18/AO18))</f>
        <v>-6.1345224823485811E-3</v>
      </c>
      <c r="AQ18" s="73"/>
      <c r="AR18" s="55">
        <f>IF($R18="","",VLOOKUP(AR$6,Metals,7,FALSE)*$R18/GramsPerOz)</f>
        <v>0.15484189099054682</v>
      </c>
      <c r="AS18" s="55">
        <f>IF($R18="","",VLOOKUP(AS$6,Metals,7,FALSE)*$R18/GramsPerOz)</f>
        <v>16.250686122655399</v>
      </c>
      <c r="AT18" s="55">
        <f>IF($R18="","",VLOOKUP(AT$6,Metals,7,FALSE)*$R18/GramsPerOz)</f>
        <v>75.937785619885034</v>
      </c>
      <c r="AU18" s="46"/>
      <c r="AV18" s="56"/>
      <c r="AW18" s="90"/>
    </row>
    <row r="19" spans="2:49" s="44" customFormat="1" x14ac:dyDescent="0.2">
      <c r="B19" s="89"/>
      <c r="C19" s="16" t="s">
        <v>99</v>
      </c>
      <c r="D19" s="16">
        <v>1881</v>
      </c>
      <c r="E19" s="129" t="s">
        <v>102</v>
      </c>
      <c r="F19" s="16" t="s">
        <v>100</v>
      </c>
      <c r="G19" s="16" t="s">
        <v>101</v>
      </c>
      <c r="H19" s="129" t="s">
        <v>61</v>
      </c>
      <c r="I19" s="17" t="s">
        <v>30</v>
      </c>
      <c r="J19" s="17"/>
      <c r="K19" s="28"/>
      <c r="L19" s="16"/>
      <c r="M19" s="16"/>
      <c r="N19" s="18">
        <v>26.96</v>
      </c>
      <c r="O19" s="19">
        <f>IF(E19="","",VLOOKUP(E19,Metals,5,FALSE))</f>
        <v>8.6427999999999994</v>
      </c>
      <c r="P19" s="20">
        <f>IF(OR(O19="",N19=""),"",1000*N19/O19)</f>
        <v>3119.3594668394503</v>
      </c>
      <c r="Q19" s="28"/>
      <c r="R19" s="19">
        <v>20.89</v>
      </c>
      <c r="S19" s="19">
        <v>37.729999999999997</v>
      </c>
      <c r="T19" s="19">
        <v>2.83</v>
      </c>
      <c r="U19" s="135">
        <v>0.33</v>
      </c>
      <c r="V19" s="41">
        <v>2.37</v>
      </c>
      <c r="W19" s="28"/>
      <c r="X19" s="16">
        <f t="shared" si="1"/>
        <v>2.17</v>
      </c>
      <c r="Y19" s="20">
        <f>IF(S19="","",PI()*POWER(S19/2,2))</f>
        <v>1118.055833159111</v>
      </c>
      <c r="Z19" s="20">
        <f t="shared" si="2"/>
        <v>2426.1811579552709</v>
      </c>
      <c r="AA19" s="28"/>
      <c r="AB19" s="31">
        <f>IF(OR(R19="",N19=""),"",1-(N19/R19))</f>
        <v>-0.29056965055050266</v>
      </c>
      <c r="AC19" s="39"/>
      <c r="AD19" s="31">
        <f>IF(OR(P19="",Z19=""),"",1-(P19/Z19))</f>
        <v>-0.28570756417396881</v>
      </c>
      <c r="AE19" s="39"/>
      <c r="AF19" s="19">
        <f>IF(OR(Z19="",O19=""),"",Z19*O19/1000)</f>
        <v>20.968998511975812</v>
      </c>
      <c r="AG19" s="31">
        <f>IF(OR(AF19="",R19=""),"",1-(R19/AF19))</f>
        <v>3.7673955640129542E-3</v>
      </c>
      <c r="AH19" s="39"/>
      <c r="AI19" s="18">
        <f>IF(OR(O19="",R19=""),"",R19/O19)</f>
        <v>2.4170407738232984</v>
      </c>
      <c r="AJ19" s="31">
        <f>IF(OR(AI19="",V19=""),"",1-(V19/AI19))</f>
        <v>1.946213499281968E-2</v>
      </c>
      <c r="AK19" s="39"/>
      <c r="AL19" s="19">
        <f>IF(OR(R19="",Z19=""),"",R19/Z19*1000)</f>
        <v>8.6102391536193466</v>
      </c>
      <c r="AM19" s="31">
        <f>IF(OR(AL19="",O19=""),"",1-(O19/AL19))</f>
        <v>-3.7816425072194626E-3</v>
      </c>
      <c r="AN19" s="39"/>
      <c r="AO19" s="19">
        <f>IF(OR(V19="",R19=""),"",R19/V19)</f>
        <v>8.814345991561181</v>
      </c>
      <c r="AP19" s="31">
        <f>IF(OR(AO19="",O19=""),"",1-(O19/AO19))</f>
        <v>1.9462134992819569E-2</v>
      </c>
      <c r="AQ19" s="28"/>
      <c r="AR19" s="21">
        <f>IF($R19="","",VLOOKUP(AR$6,Metals,7,FALSE)*$R19/GramsPerOz)</f>
        <v>0.12020241927880056</v>
      </c>
      <c r="AS19" s="21">
        <f>IF($R19="","",VLOOKUP(AS$6,Metals,7,FALSE)*$R19/GramsPerOz)</f>
        <v>12.615266930593506</v>
      </c>
      <c r="AT19" s="21">
        <f>IF($R19="","",VLOOKUP(AT$6,Metals,7,FALSE)*$R19/GramsPerOz)</f>
        <v>58.94984547006311</v>
      </c>
      <c r="AU19" s="39"/>
      <c r="AV19" s="35"/>
      <c r="AW19" s="90"/>
    </row>
    <row r="20" spans="2:49" s="44" customFormat="1" x14ac:dyDescent="0.2">
      <c r="B20" s="89"/>
      <c r="C20" s="22" t="s">
        <v>29</v>
      </c>
      <c r="D20" s="22">
        <v>1990</v>
      </c>
      <c r="E20" s="22" t="s">
        <v>18</v>
      </c>
      <c r="F20" s="22" t="s">
        <v>30</v>
      </c>
      <c r="G20" s="22" t="s">
        <v>39</v>
      </c>
      <c r="H20" s="22"/>
      <c r="I20" s="23"/>
      <c r="J20" s="23"/>
      <c r="K20" s="109"/>
      <c r="L20" s="22"/>
      <c r="M20" s="22">
        <v>1</v>
      </c>
      <c r="N20" s="24">
        <f t="shared" si="0"/>
        <v>28.349523000000001</v>
      </c>
      <c r="O20" s="25">
        <f>IF(E20="","",VLOOKUP(E20,Metals,5,FALSE))</f>
        <v>8.93</v>
      </c>
      <c r="P20" s="26">
        <f>IF(OR(O20="",N20=""),"",1000*N20/O20)</f>
        <v>3174.6386338185894</v>
      </c>
      <c r="Q20" s="109"/>
      <c r="R20" s="37">
        <v>28.39</v>
      </c>
      <c r="S20" s="25">
        <v>39.33</v>
      </c>
      <c r="T20" s="25">
        <v>3.2</v>
      </c>
      <c r="U20" s="136">
        <v>0.3</v>
      </c>
      <c r="V20" s="42">
        <v>3.18</v>
      </c>
      <c r="W20" s="109"/>
      <c r="X20" s="22">
        <f t="shared" si="1"/>
        <v>2.6</v>
      </c>
      <c r="Y20" s="26">
        <f>IF(S20="","",PI()*POWER(S20/2,2))</f>
        <v>1214.8922851133632</v>
      </c>
      <c r="Z20" s="26">
        <f t="shared" si="2"/>
        <v>3158.7199412947443</v>
      </c>
      <c r="AA20" s="109"/>
      <c r="AB20" s="32">
        <f>IF(OR(R20="",N20=""),"",1-(N20/R20))</f>
        <v>1.4257485029939287E-3</v>
      </c>
      <c r="AC20" s="40"/>
      <c r="AD20" s="32">
        <f>IF(OR(P20="",Z20=""),"",1-(P20/Z20))</f>
        <v>-5.0396023768159992E-3</v>
      </c>
      <c r="AE20" s="40"/>
      <c r="AF20" s="25">
        <f>IF(OR(Z20="",O20=""),"",Z20*O20/1000)</f>
        <v>28.207369075762063</v>
      </c>
      <c r="AG20" s="32">
        <f>IF(OR(AF20="",R20=""),"",1-(R20/AF20))</f>
        <v>-6.4745820054117331E-3</v>
      </c>
      <c r="AH20" s="40"/>
      <c r="AI20" s="24">
        <f>IF(OR(O20="",R20=""),"",R20/O20)</f>
        <v>3.1791713325867863</v>
      </c>
      <c r="AJ20" s="32">
        <f>IF(OR(AI20="",V20=""),"",1-(V20/AI20))</f>
        <v>-2.6065516026774205E-4</v>
      </c>
      <c r="AK20" s="40"/>
      <c r="AL20" s="25">
        <f t="shared" si="4"/>
        <v>8.9878180173083262</v>
      </c>
      <c r="AM20" s="32">
        <f>IF(OR(AL20="",O20=""),"",1-(O20/AL20))</f>
        <v>6.4329314631185186E-3</v>
      </c>
      <c r="AN20" s="40"/>
      <c r="AO20" s="25">
        <f t="shared" si="5"/>
        <v>8.9276729559748418</v>
      </c>
      <c r="AP20" s="32">
        <f>IF(OR(AO20="",O20=""),"",1-(O20/AO20))</f>
        <v>-2.6065516026774205E-4</v>
      </c>
      <c r="AQ20" s="109"/>
      <c r="AR20" s="27">
        <f t="shared" si="3"/>
        <v>0.16335790729177346</v>
      </c>
      <c r="AS20" s="27">
        <f t="shared" si="3"/>
        <v>17.144443664889881</v>
      </c>
      <c r="AT20" s="27">
        <f t="shared" si="3"/>
        <v>80.114222733130276</v>
      </c>
      <c r="AU20" s="40"/>
      <c r="AV20" s="38" t="s">
        <v>124</v>
      </c>
      <c r="AW20" s="90"/>
    </row>
    <row r="21" spans="2:49" s="44" customFormat="1" x14ac:dyDescent="0.2">
      <c r="B21" s="89"/>
      <c r="C21" s="44" t="s">
        <v>33</v>
      </c>
      <c r="D21" s="44">
        <v>1972</v>
      </c>
      <c r="E21" s="44" t="s">
        <v>21</v>
      </c>
      <c r="F21" s="44" t="s">
        <v>50</v>
      </c>
      <c r="G21" s="44" t="s">
        <v>51</v>
      </c>
      <c r="I21" s="45">
        <v>2000</v>
      </c>
      <c r="J21" s="45"/>
      <c r="K21" s="73"/>
      <c r="N21" s="47">
        <v>25.15</v>
      </c>
      <c r="O21" s="48">
        <f>IF(E21="","",VLOOKUP(E21,Metals,5,FALSE))</f>
        <v>10.49</v>
      </c>
      <c r="P21" s="49">
        <f>IF(OR(O21="",N21=""),"",1000*N21/O21)</f>
        <v>2397.5214489990467</v>
      </c>
      <c r="Q21" s="73"/>
      <c r="R21" s="53">
        <v>25.08</v>
      </c>
      <c r="S21" s="48">
        <v>40.26</v>
      </c>
      <c r="T21" s="48">
        <v>2.4500000000000002</v>
      </c>
      <c r="U21" s="134">
        <v>0.28999999999999998</v>
      </c>
      <c r="V21" s="50">
        <v>2.44</v>
      </c>
      <c r="W21" s="73"/>
      <c r="X21" s="44">
        <f t="shared" si="1"/>
        <v>1.87</v>
      </c>
      <c r="Y21" s="49">
        <f>IF(S21="","",PI()*POWER(S21/2,2))</f>
        <v>1273.0264361504296</v>
      </c>
      <c r="Z21" s="49">
        <f t="shared" si="2"/>
        <v>2380.5594356013034</v>
      </c>
      <c r="AA21" s="73"/>
      <c r="AB21" s="52">
        <f>IF(OR(R21="",N21=""),"",1-(N21/R21))</f>
        <v>-2.7910685805423441E-3</v>
      </c>
      <c r="AC21" s="46"/>
      <c r="AD21" s="52">
        <f>IF(OR(P21="",Z21=""),"",1-(P21/Z21))</f>
        <v>-7.1252215525796636E-3</v>
      </c>
      <c r="AE21" s="46"/>
      <c r="AF21" s="48">
        <f>IF(OR(Z21="",O21=""),"",Z21*O21/1000)</f>
        <v>24.972068479457672</v>
      </c>
      <c r="AG21" s="52">
        <f>IF(OR(AF21="",R21=""),"",1-(R21/AF21))</f>
        <v>-4.3220897232085775E-3</v>
      </c>
      <c r="AH21" s="46"/>
      <c r="AI21" s="47">
        <f>IF(OR(O21="",R21=""),"",R21/O21)</f>
        <v>2.3908484270734029</v>
      </c>
      <c r="AJ21" s="52">
        <f>IF(OR(AI21="",V21=""),"",1-(V21/AI21))</f>
        <v>-2.0558213716108664E-2</v>
      </c>
      <c r="AK21" s="46"/>
      <c r="AL21" s="48">
        <f t="shared" si="4"/>
        <v>10.535338721196458</v>
      </c>
      <c r="AM21" s="52">
        <f>IF(OR(AL21="",O21=""),"",1-(O21/AL21))</f>
        <v>4.3034896547976542E-3</v>
      </c>
      <c r="AN21" s="46"/>
      <c r="AO21" s="48">
        <f t="shared" si="5"/>
        <v>10.278688524590164</v>
      </c>
      <c r="AP21" s="52">
        <f>IF(OR(AO21="",O21=""),"",1-(O21/AO21))</f>
        <v>-2.0558213716108442E-2</v>
      </c>
      <c r="AQ21" s="73"/>
      <c r="AR21" s="55">
        <f t="shared" si="3"/>
        <v>0.14431195191538143</v>
      </c>
      <c r="AS21" s="55">
        <f t="shared" si="3"/>
        <v>15.14556699948708</v>
      </c>
      <c r="AT21" s="55">
        <f t="shared" si="3"/>
        <v>70.773677567696637</v>
      </c>
      <c r="AU21" s="46"/>
      <c r="AV21" s="56"/>
      <c r="AW21" s="90"/>
    </row>
    <row r="22" spans="2:49" s="44" customFormat="1" x14ac:dyDescent="0.2">
      <c r="B22" s="89"/>
      <c r="C22" s="44" t="s">
        <v>33</v>
      </c>
      <c r="D22" s="44">
        <v>1994</v>
      </c>
      <c r="E22" s="44" t="s">
        <v>57</v>
      </c>
      <c r="F22" s="44" t="s">
        <v>34</v>
      </c>
      <c r="G22" s="44" t="s">
        <v>35</v>
      </c>
      <c r="I22" s="45">
        <v>1111</v>
      </c>
      <c r="J22" s="45"/>
      <c r="K22" s="73"/>
      <c r="N22" s="47" t="str">
        <f t="shared" si="0"/>
        <v/>
      </c>
      <c r="O22" s="48">
        <f>IF(E22="","",VLOOKUP(E22,Metals,5,FALSE))</f>
        <v>8.8975000000000009</v>
      </c>
      <c r="P22" s="49" t="str">
        <f>IF(OR(O22="",N22=""),"",1000*N22/O22)</f>
        <v/>
      </c>
      <c r="Q22" s="73"/>
      <c r="R22" s="53">
        <v>26.21</v>
      </c>
      <c r="S22" s="48">
        <v>39.03</v>
      </c>
      <c r="T22" s="48">
        <v>2.89</v>
      </c>
      <c r="U22" s="134">
        <v>0.21</v>
      </c>
      <c r="V22" s="50">
        <v>3</v>
      </c>
      <c r="W22" s="73"/>
      <c r="X22" s="44">
        <f t="shared" si="1"/>
        <v>2.4700000000000002</v>
      </c>
      <c r="Y22" s="49">
        <f>IF(S22="","",PI()*POWER(S22/2,2))</f>
        <v>1196.429145088216</v>
      </c>
      <c r="Z22" s="49">
        <f t="shared" si="2"/>
        <v>2955.1799883678937</v>
      </c>
      <c r="AA22" s="73"/>
      <c r="AB22" s="52" t="str">
        <f>IF(OR(R22="",N22=""),"",1-(N22/R22))</f>
        <v/>
      </c>
      <c r="AC22" s="46"/>
      <c r="AD22" s="52" t="str">
        <f>IF(OR(P22="",Z22=""),"",1-(P22/Z22))</f>
        <v/>
      </c>
      <c r="AE22" s="46"/>
      <c r="AF22" s="48">
        <f>IF(OR(Z22="",O22=""),"",Z22*O22/1000)</f>
        <v>26.293713946503335</v>
      </c>
      <c r="AG22" s="52">
        <f>IF(OR(AF22="",R22=""),"",1-(R22/AF22))</f>
        <v>3.183800762176725E-3</v>
      </c>
      <c r="AH22" s="46"/>
      <c r="AI22" s="47">
        <f>IF(OR(O22="",R22=""),"",R22/O22)</f>
        <v>2.9457712840685586</v>
      </c>
      <c r="AJ22" s="52">
        <f>IF(OR(AI22="",V22=""),"",1-(V22/AI22))</f>
        <v>-1.8409004196871415E-2</v>
      </c>
      <c r="AK22" s="46"/>
      <c r="AL22" s="48">
        <f t="shared" si="4"/>
        <v>8.869172132718532</v>
      </c>
      <c r="AM22" s="52">
        <f>IF(OR(AL22="",O22=""),"",1-(O22/AL22))</f>
        <v>-3.1939697254230737E-3</v>
      </c>
      <c r="AN22" s="46"/>
      <c r="AO22" s="48">
        <f t="shared" si="5"/>
        <v>8.7366666666666664</v>
      </c>
      <c r="AP22" s="52">
        <f>IF(OR(AO22="",O22=""),"",1-(O22/AO22))</f>
        <v>-1.8409004196871637E-2</v>
      </c>
      <c r="AQ22" s="73"/>
      <c r="AR22" s="55">
        <f t="shared" si="3"/>
        <v>0.15081404544266935</v>
      </c>
      <c r="AS22" s="55">
        <f t="shared" si="3"/>
        <v>15.827962960787735</v>
      </c>
      <c r="AT22" s="55">
        <f t="shared" si="3"/>
        <v>73.962443741998769</v>
      </c>
      <c r="AU22" s="46"/>
      <c r="AV22" s="56"/>
      <c r="AW22" s="90"/>
    </row>
    <row r="23" spans="2:49" s="44" customFormat="1" x14ac:dyDescent="0.2">
      <c r="B23" s="89"/>
      <c r="C23" s="44" t="s">
        <v>33</v>
      </c>
      <c r="D23" s="44">
        <v>2012</v>
      </c>
      <c r="E23" s="44" t="s">
        <v>94</v>
      </c>
      <c r="F23" s="44" t="s">
        <v>62</v>
      </c>
      <c r="G23" s="44" t="s">
        <v>63</v>
      </c>
      <c r="I23" s="45"/>
      <c r="J23" s="45">
        <v>278</v>
      </c>
      <c r="K23" s="73"/>
      <c r="M23" s="44">
        <v>1</v>
      </c>
      <c r="N23" s="47">
        <f t="shared" si="0"/>
        <v>28.349523000000001</v>
      </c>
      <c r="O23" s="48">
        <f>IF(E23="","",VLOOKUP(E23,Metals,5,FALSE))</f>
        <v>10.373000000000001</v>
      </c>
      <c r="P23" s="49">
        <f>IF(OR(O23="",N23=""),"",1000*N23/O23)</f>
        <v>2733.0109900703746</v>
      </c>
      <c r="Q23" s="73"/>
      <c r="R23" s="53">
        <v>28.41</v>
      </c>
      <c r="S23" s="48">
        <v>38.75</v>
      </c>
      <c r="T23" s="48">
        <v>2.85</v>
      </c>
      <c r="U23" s="134">
        <v>0.27</v>
      </c>
      <c r="V23" s="50">
        <v>2.77</v>
      </c>
      <c r="W23" s="73"/>
      <c r="X23" s="44">
        <f t="shared" si="1"/>
        <v>2.31</v>
      </c>
      <c r="Y23" s="49">
        <f>IF(S23="","",PI()*POWER(S23/2,2))</f>
        <v>1179.324429726481</v>
      </c>
      <c r="Z23" s="49">
        <f t="shared" si="2"/>
        <v>2724.239432668171</v>
      </c>
      <c r="AA23" s="73"/>
      <c r="AB23" s="52">
        <f>IF(OR(R23="",N23=""),"",1-(N23/R23))</f>
        <v>2.1287222808870077E-3</v>
      </c>
      <c r="AC23" s="46"/>
      <c r="AD23" s="52">
        <f>IF(OR(P23="",Z23=""),"",1-(P23/Z23))</f>
        <v>-3.2198188224639157E-3</v>
      </c>
      <c r="AE23" s="46"/>
      <c r="AF23" s="48">
        <f>IF(OR(Z23="",O23=""),"",Z23*O23/1000)</f>
        <v>28.258535635066941</v>
      </c>
      <c r="AG23" s="52">
        <f>IF(OR(AF23="",R23=""),"",1-(R23/AF23))</f>
        <v>-5.3599509503634568E-3</v>
      </c>
      <c r="AH23" s="46"/>
      <c r="AI23" s="47">
        <f>IF(OR(O23="",R23=""),"",R23/O23)</f>
        <v>2.7388412224043188</v>
      </c>
      <c r="AJ23" s="52">
        <f>IF(OR(AI23="",V23=""),"",1-(V23/AI23))</f>
        <v>-1.1376627947905726E-2</v>
      </c>
      <c r="AK23" s="46"/>
      <c r="AL23" s="48">
        <f t="shared" si="4"/>
        <v>10.428598771208122</v>
      </c>
      <c r="AM23" s="52">
        <f>IF(OR(AL23="",O23=""),"",1-(O23/AL23))</f>
        <v>5.3313750416423833E-3</v>
      </c>
      <c r="AN23" s="46"/>
      <c r="AO23" s="48">
        <f t="shared" si="5"/>
        <v>10.256317689530686</v>
      </c>
      <c r="AP23" s="52">
        <f>IF(OR(AO23="",O23=""),"",1-(O23/AO23))</f>
        <v>-1.1376627947905726E-2</v>
      </c>
      <c r="AQ23" s="73"/>
      <c r="AR23" s="55">
        <f t="shared" si="3"/>
        <v>0.16347298859314138</v>
      </c>
      <c r="AS23" s="55">
        <f t="shared" si="3"/>
        <v>17.156521469514672</v>
      </c>
      <c r="AT23" s="55">
        <f t="shared" si="3"/>
        <v>80.170661072498476</v>
      </c>
      <c r="AU23" s="46"/>
      <c r="AV23" s="56"/>
      <c r="AW23" s="90"/>
    </row>
    <row r="24" spans="2:49" s="44" customFormat="1" x14ac:dyDescent="0.2">
      <c r="B24" s="89"/>
      <c r="C24" s="110" t="s">
        <v>33</v>
      </c>
      <c r="D24" s="110">
        <v>1994</v>
      </c>
      <c r="E24" s="110" t="s">
        <v>21</v>
      </c>
      <c r="F24" s="110" t="s">
        <v>36</v>
      </c>
      <c r="G24" s="110" t="s">
        <v>35</v>
      </c>
      <c r="H24" s="110"/>
      <c r="I24" s="111">
        <v>20000</v>
      </c>
      <c r="J24" s="111"/>
      <c r="K24" s="28"/>
      <c r="L24" s="110">
        <v>1</v>
      </c>
      <c r="M24" s="110"/>
      <c r="N24" s="112">
        <f t="shared" si="0"/>
        <v>31.103476799999999</v>
      </c>
      <c r="O24" s="113">
        <f>IF(E24="","",VLOOKUP(E24,Metals,5,FALSE))</f>
        <v>10.49</v>
      </c>
      <c r="P24" s="114">
        <f>IF(OR(O24="",N24=""),"",1000*N24/O24)</f>
        <v>2965.0597521448999</v>
      </c>
      <c r="Q24" s="28"/>
      <c r="R24" s="115">
        <v>31.25</v>
      </c>
      <c r="S24" s="113">
        <v>39.03</v>
      </c>
      <c r="T24" s="113">
        <v>2.89</v>
      </c>
      <c r="U24" s="137">
        <v>0.2</v>
      </c>
      <c r="V24" s="126">
        <v>3</v>
      </c>
      <c r="W24" s="28"/>
      <c r="X24" s="110">
        <f t="shared" si="1"/>
        <v>2.4900000000000002</v>
      </c>
      <c r="Y24" s="114">
        <f>IF(S24="","",PI()*POWER(S24/2,2))</f>
        <v>1196.429145088216</v>
      </c>
      <c r="Z24" s="114">
        <f t="shared" si="2"/>
        <v>2979.1085712696581</v>
      </c>
      <c r="AA24" s="28"/>
      <c r="AB24" s="117">
        <f>IF(OR(R24="",N24=""),"",1-(N24/R24))</f>
        <v>4.6887424000000566E-3</v>
      </c>
      <c r="AC24" s="116"/>
      <c r="AD24" s="117">
        <f>IF(OR(P24="",Z24=""),"",1-(P24/Z24))</f>
        <v>4.7157794986877333E-3</v>
      </c>
      <c r="AE24" s="116"/>
      <c r="AF24" s="113">
        <f>IF(OR(Z24="",O24=""),"",Z24*O24/1000)</f>
        <v>31.250848912618714</v>
      </c>
      <c r="AG24" s="117">
        <f>IF(OR(AF24="",R24=""),"",1-(R24/AF24))</f>
        <v>2.7164465870588295E-5</v>
      </c>
      <c r="AH24" s="116"/>
      <c r="AI24" s="112">
        <f>IF(OR(O24="",R24=""),"",R24/O24)</f>
        <v>2.979027645376549</v>
      </c>
      <c r="AJ24" s="117">
        <f>IF(OR(AI24="",V24=""),"",1-(V24/AI24))</f>
        <v>-7.0399999999999352E-3</v>
      </c>
      <c r="AK24" s="116"/>
      <c r="AL24" s="113">
        <f t="shared" si="4"/>
        <v>10.489715044753018</v>
      </c>
      <c r="AM24" s="117">
        <f>IF(OR(AL24="",O24=""),"",1-(O24/AL24))</f>
        <v>-2.7165203798862336E-5</v>
      </c>
      <c r="AN24" s="116"/>
      <c r="AO24" s="113">
        <f t="shared" si="5"/>
        <v>10.416666666666666</v>
      </c>
      <c r="AP24" s="117">
        <f>IF(OR(AO24="",O24=""),"",1-(O24/AO24))</f>
        <v>-7.0400000000001572E-3</v>
      </c>
      <c r="AQ24" s="28"/>
      <c r="AR24" s="118">
        <f t="shared" si="3"/>
        <v>0.17981453338738715</v>
      </c>
      <c r="AS24" s="118">
        <f t="shared" si="3"/>
        <v>18.871569726234899</v>
      </c>
      <c r="AT24" s="118">
        <f t="shared" si="3"/>
        <v>88.184905262779907</v>
      </c>
      <c r="AU24" s="116"/>
      <c r="AV24" s="119"/>
      <c r="AW24" s="90"/>
    </row>
    <row r="25" spans="2:49" s="44" customFormat="1" x14ac:dyDescent="0.2">
      <c r="B25" s="89"/>
      <c r="C25" s="44" t="s">
        <v>37</v>
      </c>
      <c r="D25" s="44">
        <v>1890</v>
      </c>
      <c r="E25" s="44" t="s">
        <v>93</v>
      </c>
      <c r="F25" s="44" t="s">
        <v>47</v>
      </c>
      <c r="G25" s="44" t="s">
        <v>48</v>
      </c>
      <c r="H25" s="44" t="s">
        <v>59</v>
      </c>
      <c r="I25" s="45">
        <v>8230373</v>
      </c>
      <c r="J25" s="45"/>
      <c r="K25" s="73"/>
      <c r="N25" s="47">
        <v>26.73</v>
      </c>
      <c r="O25" s="48">
        <f>IF(E25="","",VLOOKUP(E25,Metals,5,FALSE))</f>
        <v>10.334</v>
      </c>
      <c r="P25" s="49">
        <f>IF(OR(O25="",N25=""),"",1000*N25/O25)</f>
        <v>2586.6073156570546</v>
      </c>
      <c r="Q25" s="73"/>
      <c r="R25" s="53">
        <v>26.63</v>
      </c>
      <c r="S25" s="48">
        <v>37.729999999999997</v>
      </c>
      <c r="T25" s="48">
        <v>2.75</v>
      </c>
      <c r="U25" s="134">
        <v>0.2</v>
      </c>
      <c r="V25" s="50">
        <v>2.6</v>
      </c>
      <c r="W25" s="73"/>
      <c r="X25" s="44">
        <f t="shared" si="1"/>
        <v>2.35</v>
      </c>
      <c r="Y25" s="49">
        <f>IF(S25="","",PI()*POWER(S25/2,2))</f>
        <v>1118.055833159111</v>
      </c>
      <c r="Z25" s="49">
        <f t="shared" si="2"/>
        <v>2627.4312079239107</v>
      </c>
      <c r="AA25" s="73"/>
      <c r="AB25" s="52">
        <f>IF(OR(R25="",N25=""),"",1-(N25/R25))</f>
        <v>-3.7551633496057946E-3</v>
      </c>
      <c r="AC25" s="46"/>
      <c r="AD25" s="52">
        <f>IF(OR(P25="",Z25=""),"",1-(P25/Z25))</f>
        <v>1.5537568459923046E-2</v>
      </c>
      <c r="AE25" s="46"/>
      <c r="AF25" s="48">
        <f>IF(OR(Z25="",O25=""),"",Z25*O25/1000)</f>
        <v>27.151874102685692</v>
      </c>
      <c r="AG25" s="52">
        <f>IF(OR(AF25="",R25=""),"",1-(R25/AF25))</f>
        <v>1.9220555484016244E-2</v>
      </c>
      <c r="AH25" s="46"/>
      <c r="AI25" s="47">
        <f>IF(OR(O25="",R25=""),"",R25/O25)</f>
        <v>2.5769305206115733</v>
      </c>
      <c r="AJ25" s="52">
        <f>IF(OR(AI25="",V25=""),"",1-(V25/AI25))</f>
        <v>-8.9523094254599922E-3</v>
      </c>
      <c r="AK25" s="46"/>
      <c r="AL25" s="48">
        <f t="shared" si="4"/>
        <v>10.135374779628176</v>
      </c>
      <c r="AM25" s="52">
        <f>IF(OR(AL25="",O25=""),"",1-(O25/AL25))</f>
        <v>-1.9597225035136834E-2</v>
      </c>
      <c r="AN25" s="46"/>
      <c r="AO25" s="48">
        <f t="shared" si="5"/>
        <v>10.242307692307692</v>
      </c>
      <c r="AP25" s="52">
        <f>IF(OR(AO25="",O25=""),"",1-(O25/AO25))</f>
        <v>-8.9523094254599922E-3</v>
      </c>
      <c r="AQ25" s="73"/>
      <c r="AR25" s="55">
        <f t="shared" si="3"/>
        <v>0.15323075277139583</v>
      </c>
      <c r="AS25" s="55">
        <f t="shared" si="3"/>
        <v>16.08159685790833</v>
      </c>
      <c r="AT25" s="55">
        <f t="shared" si="3"/>
        <v>75.147648868730528</v>
      </c>
      <c r="AU25" s="46"/>
      <c r="AV25" s="56"/>
      <c r="AW25" s="90"/>
    </row>
    <row r="26" spans="2:49" s="44" customFormat="1" x14ac:dyDescent="0.2">
      <c r="B26" s="89"/>
      <c r="C26" s="44" t="s">
        <v>37</v>
      </c>
      <c r="D26" s="44">
        <v>1922</v>
      </c>
      <c r="E26" s="44" t="s">
        <v>93</v>
      </c>
      <c r="F26" s="44" t="s">
        <v>36</v>
      </c>
      <c r="G26" s="44" t="s">
        <v>39</v>
      </c>
      <c r="H26" s="44" t="s">
        <v>60</v>
      </c>
      <c r="I26" s="45">
        <v>51737000</v>
      </c>
      <c r="J26" s="45"/>
      <c r="K26" s="73"/>
      <c r="N26" s="47">
        <v>26.73</v>
      </c>
      <c r="O26" s="48">
        <f>IF(E26="","",VLOOKUP(E26,Metals,5,FALSE))</f>
        <v>10.334</v>
      </c>
      <c r="P26" s="49">
        <f>IF(OR(O26="",N26=""),"",1000*N26/O26)</f>
        <v>2586.6073156570546</v>
      </c>
      <c r="Q26" s="73"/>
      <c r="R26" s="53">
        <v>26.75</v>
      </c>
      <c r="S26" s="48">
        <v>38.049999999999997</v>
      </c>
      <c r="T26" s="48">
        <v>2.75</v>
      </c>
      <c r="U26" s="134">
        <v>0.24</v>
      </c>
      <c r="V26" s="50">
        <v>2.56</v>
      </c>
      <c r="W26" s="73"/>
      <c r="X26" s="44">
        <f t="shared" si="1"/>
        <v>2.27</v>
      </c>
      <c r="Y26" s="49">
        <f>IF(S26="","",PI()*POWER(S26/2,2))</f>
        <v>1137.101424462234</v>
      </c>
      <c r="Z26" s="49">
        <f t="shared" si="2"/>
        <v>2581.2202335292714</v>
      </c>
      <c r="AA26" s="73"/>
      <c r="AB26" s="52">
        <f>IF(OR(R26="",N26=""),"",1-(N26/R26))</f>
        <v>7.4766355140187812E-4</v>
      </c>
      <c r="AC26" s="46"/>
      <c r="AD26" s="52">
        <f>IF(OR(P26="",Z26=""),"",1-(P26/Z26))</f>
        <v>-2.0870292498900156E-3</v>
      </c>
      <c r="AE26" s="46"/>
      <c r="AF26" s="48">
        <f>IF(OR(Z26="",O26=""),"",Z26*O26/1000)</f>
        <v>26.674329893291489</v>
      </c>
      <c r="AG26" s="52">
        <f>IF(OR(AF26="",R26=""),"",1-(R26/AF26))</f>
        <v>-2.8368137835597107E-3</v>
      </c>
      <c r="AH26" s="46"/>
      <c r="AI26" s="47">
        <f>IF(OR(O26="",R26=""),"",R26/O26)</f>
        <v>2.5885426746661508</v>
      </c>
      <c r="AJ26" s="52">
        <f>IF(OR(AI26="",V26=""),"",1-(V26/AI26))</f>
        <v>1.1026542056074895E-2</v>
      </c>
      <c r="AK26" s="46"/>
      <c r="AL26" s="48">
        <f t="shared" si="4"/>
        <v>10.363315633639308</v>
      </c>
      <c r="AM26" s="52">
        <f>IF(OR(AL26="",O26=""),"",1-(O26/AL26))</f>
        <v>2.8287890358322798E-3</v>
      </c>
      <c r="AN26" s="46"/>
      <c r="AO26" s="48">
        <f t="shared" si="5"/>
        <v>10.44921875</v>
      </c>
      <c r="AP26" s="52">
        <f>IF(OR(AO26="",O26=""),"",1-(O26/AO26))</f>
        <v>1.1026542056074784E-2</v>
      </c>
      <c r="AQ26" s="73"/>
      <c r="AR26" s="55">
        <f t="shared" si="3"/>
        <v>0.15392124057960338</v>
      </c>
      <c r="AS26" s="55">
        <f t="shared" si="3"/>
        <v>16.154063685657075</v>
      </c>
      <c r="AT26" s="55">
        <f t="shared" si="3"/>
        <v>75.486278904939596</v>
      </c>
      <c r="AU26" s="46"/>
      <c r="AV26" s="56"/>
      <c r="AW26" s="90"/>
    </row>
    <row r="27" spans="2:49" s="44" customFormat="1" x14ac:dyDescent="0.2">
      <c r="B27" s="89"/>
      <c r="C27" s="44" t="s">
        <v>37</v>
      </c>
      <c r="D27" s="44">
        <v>2015</v>
      </c>
      <c r="E27" s="44" t="s">
        <v>192</v>
      </c>
      <c r="F27" s="44" t="s">
        <v>5</v>
      </c>
      <c r="G27" s="44" t="s">
        <v>40</v>
      </c>
      <c r="I27" s="45">
        <v>980000</v>
      </c>
      <c r="J27" s="45"/>
      <c r="K27" s="73"/>
      <c r="L27" s="44">
        <v>0.1091</v>
      </c>
      <c r="N27" s="47">
        <f t="shared" ref="N27:N28" si="6">IF(L27="",IF(M27="","",M27*GramsPerOz),L27*(GramsPerTroyOz))</f>
        <v>3.3933893188800002</v>
      </c>
      <c r="O27" s="48">
        <f>IF(E27="","",VLOOKUP(E27,Metals,5,FALSE))</f>
        <v>18.501312999999996</v>
      </c>
      <c r="P27" s="49">
        <f>IF(OR(O27="",N27=""),"",1000*N27/O27)</f>
        <v>183.41343227261768</v>
      </c>
      <c r="Q27" s="73"/>
      <c r="R27" s="53">
        <v>3.39</v>
      </c>
      <c r="S27" s="48">
        <v>16.510000000000002</v>
      </c>
      <c r="T27" s="48">
        <v>1.17</v>
      </c>
      <c r="U27" s="134">
        <v>0.16</v>
      </c>
      <c r="V27" s="50">
        <v>0.183</v>
      </c>
      <c r="W27" s="73"/>
      <c r="X27" s="44">
        <f t="shared" si="1"/>
        <v>0.84999999999999987</v>
      </c>
      <c r="Y27" s="49">
        <f>IF(S27="","",PI()*POWER(S27/2,2))</f>
        <v>214.08390991869285</v>
      </c>
      <c r="Z27" s="49">
        <f t="shared" si="2"/>
        <v>181.9713234308889</v>
      </c>
      <c r="AA27" s="73"/>
      <c r="AB27" s="52">
        <f>IF(OR(R27="",N27=""),"",1-(N27/R27))</f>
        <v>-9.9979907964597992E-4</v>
      </c>
      <c r="AC27" s="46"/>
      <c r="AD27" s="52">
        <f>IF(OR(P27="",Z27=""),"",1-(P27/Z27))</f>
        <v>-7.9249236337861628E-3</v>
      </c>
      <c r="AE27" s="46"/>
      <c r="AF27" s="48">
        <f>IF(OR(Z27="",O27=""),"",Z27*O27/1000)</f>
        <v>3.3667084118191086</v>
      </c>
      <c r="AG27" s="52">
        <f>IF(OR(AF27="",R27=""),"",1-(R27/AF27))</f>
        <v>-6.918207736412274E-3</v>
      </c>
      <c r="AH27" s="46"/>
      <c r="AI27" s="47">
        <f>IF(OR(O27="",R27=""),"",R27/O27)</f>
        <v>0.18323023884845366</v>
      </c>
      <c r="AJ27" s="52">
        <f>IF(OR(AI27="",V27=""),"",1-(V27/AI27))</f>
        <v>1.2565548672568427E-3</v>
      </c>
      <c r="AK27" s="46"/>
      <c r="AL27" s="48">
        <f t="shared" si="4"/>
        <v>18.629308926730381</v>
      </c>
      <c r="AM27" s="52">
        <f>IF(OR(AL27="",O27=""),"",1-(O27/AL27))</f>
        <v>6.870674979613911E-3</v>
      </c>
      <c r="AN27" s="46"/>
      <c r="AO27" s="48">
        <f t="shared" si="5"/>
        <v>18.524590163934427</v>
      </c>
      <c r="AP27" s="52">
        <f>IF(OR(AO27="",O27=""),"",1-(O27/AO27))</f>
        <v>1.2565548672568427E-3</v>
      </c>
      <c r="AQ27" s="73"/>
      <c r="AR27" s="55">
        <f t="shared" si="3"/>
        <v>1.9506280581863756E-2</v>
      </c>
      <c r="AS27" s="55">
        <f t="shared" si="3"/>
        <v>2.0471878839019619</v>
      </c>
      <c r="AT27" s="55">
        <f t="shared" si="3"/>
        <v>9.5662985229063633</v>
      </c>
      <c r="AU27" s="46"/>
      <c r="AV27" s="56" t="s">
        <v>120</v>
      </c>
      <c r="AW27" s="90"/>
    </row>
    <row r="28" spans="2:49" s="44" customFormat="1" x14ac:dyDescent="0.2">
      <c r="B28" s="89"/>
      <c r="I28" s="45"/>
      <c r="J28" s="45"/>
      <c r="K28" s="73"/>
      <c r="N28" s="47" t="str">
        <f t="shared" ref="N28:N48" si="7">IF(L28="",IF(M28="","",M28*GramsPerOz),L28*(GramsPerTroyOz))</f>
        <v/>
      </c>
      <c r="O28" s="48" t="str">
        <f>IF(E28="","",VLOOKUP(E28,Metals,5,FALSE))</f>
        <v/>
      </c>
      <c r="P28" s="49" t="str">
        <f t="shared" ref="P28:P48" si="8">IF(OR(O28="",N28=""),"",1000*N28/O28)</f>
        <v/>
      </c>
      <c r="Q28" s="73"/>
      <c r="R28" s="53"/>
      <c r="S28" s="48"/>
      <c r="T28" s="48"/>
      <c r="U28" s="134"/>
      <c r="V28" s="50"/>
      <c r="W28" s="73"/>
      <c r="X28" s="44" t="str">
        <f t="shared" ref="X28:X48" si="9">IF(OR(U28="",T28=0),"",T28-2*U28)</f>
        <v/>
      </c>
      <c r="Y28" s="49" t="str">
        <f t="shared" ref="Y28:Y48" si="10">IF(S28="","",PI()*POWER(S28/2,2))</f>
        <v/>
      </c>
      <c r="Z28" s="49" t="str">
        <f t="shared" ref="Z28:Z48" si="11">IF(OR(Y28="",X28=0),"",Y28*X28)</f>
        <v/>
      </c>
      <c r="AA28" s="73"/>
      <c r="AB28" s="52" t="str">
        <f t="shared" ref="AB28:AB48" si="12">IF(OR(R28="",N28=""),"",1-(N28/R28))</f>
        <v/>
      </c>
      <c r="AC28" s="46"/>
      <c r="AD28" s="52" t="str">
        <f t="shared" ref="AD28:AD48" si="13">IF(OR(P28="",Z28=""),"",1-(P28/Z28))</f>
        <v/>
      </c>
      <c r="AE28" s="46"/>
      <c r="AF28" s="48" t="str">
        <f t="shared" ref="AF28:AF48" si="14">IF(OR(Z28="",O28=""),"",Z28*O28/1000)</f>
        <v/>
      </c>
      <c r="AG28" s="52" t="str">
        <f t="shared" ref="AG28:AG48" si="15">IF(OR(AF28="",R28=""),"",1-(R28/AF28))</f>
        <v/>
      </c>
      <c r="AH28" s="46"/>
      <c r="AI28" s="47" t="str">
        <f t="shared" ref="AI28:AI48" si="16">IF(OR(O28="",R28=""),"",R28/O28)</f>
        <v/>
      </c>
      <c r="AJ28" s="52" t="str">
        <f t="shared" ref="AJ28:AJ48" si="17">IF(OR(AI28="",V28=""),"",1-(V28/AI28))</f>
        <v/>
      </c>
      <c r="AK28" s="46"/>
      <c r="AL28" s="48" t="str">
        <f t="shared" ref="AL28:AL48" si="18">IF(OR(R28="",Z28=""),"",R28/Z28*1000)</f>
        <v/>
      </c>
      <c r="AM28" s="52" t="str">
        <f t="shared" ref="AM28:AM48" si="19">IF(OR(AL28="",O28=""),"",1-(O28/AL28))</f>
        <v/>
      </c>
      <c r="AN28" s="46"/>
      <c r="AO28" s="48" t="str">
        <f t="shared" ref="AO28:AO48" si="20">IF(OR(V28="",R28=""),"",R28/V28)</f>
        <v/>
      </c>
      <c r="AP28" s="52" t="str">
        <f t="shared" ref="AP28:AP48" si="21">IF(OR(AO28="",O28=""),"",1-(O28/AO28))</f>
        <v/>
      </c>
      <c r="AQ28" s="73"/>
      <c r="AR28" s="55" t="str">
        <f t="shared" si="3"/>
        <v/>
      </c>
      <c r="AS28" s="55" t="str">
        <f t="shared" si="3"/>
        <v/>
      </c>
      <c r="AT28" s="55" t="str">
        <f t="shared" si="3"/>
        <v/>
      </c>
      <c r="AU28" s="46"/>
      <c r="AV28" s="56"/>
      <c r="AW28" s="90"/>
    </row>
    <row r="29" spans="2:49" s="44" customFormat="1" x14ac:dyDescent="0.2">
      <c r="B29" s="89"/>
      <c r="I29" s="45"/>
      <c r="J29" s="45"/>
      <c r="K29" s="73"/>
      <c r="N29" s="47" t="str">
        <f t="shared" si="7"/>
        <v/>
      </c>
      <c r="O29" s="48" t="str">
        <f>IF(E29="","",VLOOKUP(E29,Metals,5,FALSE))</f>
        <v/>
      </c>
      <c r="P29" s="49" t="str">
        <f t="shared" si="8"/>
        <v/>
      </c>
      <c r="Q29" s="73"/>
      <c r="R29" s="53"/>
      <c r="S29" s="48"/>
      <c r="T29" s="48"/>
      <c r="U29" s="134"/>
      <c r="V29" s="50"/>
      <c r="W29" s="73"/>
      <c r="X29" s="44" t="str">
        <f t="shared" si="9"/>
        <v/>
      </c>
      <c r="Y29" s="49" t="str">
        <f t="shared" si="10"/>
        <v/>
      </c>
      <c r="Z29" s="49" t="str">
        <f t="shared" si="11"/>
        <v/>
      </c>
      <c r="AA29" s="73"/>
      <c r="AB29" s="52" t="str">
        <f t="shared" si="12"/>
        <v/>
      </c>
      <c r="AC29" s="46"/>
      <c r="AD29" s="52" t="str">
        <f t="shared" si="13"/>
        <v/>
      </c>
      <c r="AE29" s="46"/>
      <c r="AF29" s="48" t="str">
        <f t="shared" si="14"/>
        <v/>
      </c>
      <c r="AG29" s="52" t="str">
        <f t="shared" si="15"/>
        <v/>
      </c>
      <c r="AH29" s="46"/>
      <c r="AI29" s="47" t="str">
        <f t="shared" si="16"/>
        <v/>
      </c>
      <c r="AJ29" s="52" t="str">
        <f t="shared" si="17"/>
        <v/>
      </c>
      <c r="AK29" s="46"/>
      <c r="AL29" s="48" t="str">
        <f t="shared" si="18"/>
        <v/>
      </c>
      <c r="AM29" s="52" t="str">
        <f t="shared" si="19"/>
        <v/>
      </c>
      <c r="AN29" s="46"/>
      <c r="AO29" s="48" t="str">
        <f t="shared" si="20"/>
        <v/>
      </c>
      <c r="AP29" s="52" t="str">
        <f t="shared" si="21"/>
        <v/>
      </c>
      <c r="AQ29" s="73"/>
      <c r="AR29" s="55" t="str">
        <f t="shared" si="3"/>
        <v/>
      </c>
      <c r="AS29" s="55" t="str">
        <f t="shared" si="3"/>
        <v/>
      </c>
      <c r="AT29" s="55" t="str">
        <f t="shared" si="3"/>
        <v/>
      </c>
      <c r="AU29" s="46"/>
      <c r="AV29" s="56"/>
      <c r="AW29" s="90"/>
    </row>
    <row r="30" spans="2:49" x14ac:dyDescent="0.2">
      <c r="B30" s="89"/>
      <c r="C30" s="44"/>
      <c r="D30" s="44"/>
      <c r="E30" s="44"/>
      <c r="F30" s="44"/>
      <c r="G30" s="44"/>
      <c r="H30" s="44"/>
      <c r="I30" s="45"/>
      <c r="J30" s="45"/>
      <c r="K30" s="73"/>
      <c r="L30" s="44"/>
      <c r="M30" s="44"/>
      <c r="N30" s="47" t="str">
        <f t="shared" si="7"/>
        <v/>
      </c>
      <c r="O30" s="48" t="str">
        <f>IF(E30="","",VLOOKUP(E30,Metals,5,FALSE))</f>
        <v/>
      </c>
      <c r="P30" s="49" t="str">
        <f t="shared" si="8"/>
        <v/>
      </c>
      <c r="Q30" s="73"/>
      <c r="R30" s="48"/>
      <c r="S30" s="48"/>
      <c r="T30" s="48"/>
      <c r="U30" s="134"/>
      <c r="V30" s="47"/>
      <c r="W30" s="73"/>
      <c r="X30" s="44" t="str">
        <f t="shared" si="9"/>
        <v/>
      </c>
      <c r="Y30" s="49" t="str">
        <f t="shared" si="10"/>
        <v/>
      </c>
      <c r="Z30" s="49" t="str">
        <f t="shared" si="11"/>
        <v/>
      </c>
      <c r="AA30" s="73"/>
      <c r="AB30" s="52" t="str">
        <f t="shared" si="12"/>
        <v/>
      </c>
      <c r="AC30" s="46"/>
      <c r="AD30" s="52" t="str">
        <f t="shared" si="13"/>
        <v/>
      </c>
      <c r="AE30" s="46"/>
      <c r="AF30" s="48" t="str">
        <f t="shared" si="14"/>
        <v/>
      </c>
      <c r="AG30" s="52" t="str">
        <f t="shared" si="15"/>
        <v/>
      </c>
      <c r="AH30" s="46"/>
      <c r="AI30" s="47" t="str">
        <f t="shared" si="16"/>
        <v/>
      </c>
      <c r="AJ30" s="52" t="str">
        <f t="shared" si="17"/>
        <v/>
      </c>
      <c r="AK30" s="46"/>
      <c r="AL30" s="48" t="str">
        <f t="shared" si="18"/>
        <v/>
      </c>
      <c r="AM30" s="52" t="str">
        <f t="shared" si="19"/>
        <v/>
      </c>
      <c r="AN30" s="46"/>
      <c r="AO30" s="48" t="str">
        <f t="shared" si="20"/>
        <v/>
      </c>
      <c r="AP30" s="52" t="str">
        <f t="shared" si="21"/>
        <v/>
      </c>
      <c r="AQ30" s="73"/>
      <c r="AR30" s="55" t="str">
        <f t="shared" ref="AR30:AT48" si="22">IF($R30="","",VLOOKUP(AR$6,Metals,7,FALSE)*$R30/GramsPerOz)</f>
        <v/>
      </c>
      <c r="AS30" s="55" t="str">
        <f t="shared" si="22"/>
        <v/>
      </c>
      <c r="AT30" s="55" t="str">
        <f t="shared" si="22"/>
        <v/>
      </c>
      <c r="AU30" s="46"/>
      <c r="AV30" s="56"/>
      <c r="AW30" s="90"/>
    </row>
    <row r="31" spans="2:49" x14ac:dyDescent="0.2">
      <c r="B31" s="89"/>
      <c r="C31" s="44"/>
      <c r="D31" s="44"/>
      <c r="E31" s="44"/>
      <c r="F31" s="44"/>
      <c r="G31" s="44"/>
      <c r="H31" s="44"/>
      <c r="I31" s="45"/>
      <c r="J31" s="45"/>
      <c r="K31" s="73"/>
      <c r="L31" s="44"/>
      <c r="M31" s="44"/>
      <c r="N31" s="47" t="str">
        <f t="shared" si="7"/>
        <v/>
      </c>
      <c r="O31" s="48" t="str">
        <f>IF(E31="","",VLOOKUP(E31,Metals,5,FALSE))</f>
        <v/>
      </c>
      <c r="P31" s="49" t="str">
        <f t="shared" si="8"/>
        <v/>
      </c>
      <c r="Q31" s="73"/>
      <c r="R31" s="48"/>
      <c r="S31" s="48"/>
      <c r="T31" s="48"/>
      <c r="U31" s="134"/>
      <c r="V31" s="47"/>
      <c r="W31" s="73"/>
      <c r="X31" s="44" t="str">
        <f t="shared" si="9"/>
        <v/>
      </c>
      <c r="Y31" s="49" t="str">
        <f t="shared" si="10"/>
        <v/>
      </c>
      <c r="Z31" s="49" t="str">
        <f t="shared" si="11"/>
        <v/>
      </c>
      <c r="AA31" s="73"/>
      <c r="AB31" s="52" t="str">
        <f t="shared" si="12"/>
        <v/>
      </c>
      <c r="AC31" s="46"/>
      <c r="AD31" s="52" t="str">
        <f t="shared" si="13"/>
        <v/>
      </c>
      <c r="AE31" s="46"/>
      <c r="AF31" s="48" t="str">
        <f t="shared" si="14"/>
        <v/>
      </c>
      <c r="AG31" s="52" t="str">
        <f t="shared" si="15"/>
        <v/>
      </c>
      <c r="AH31" s="46"/>
      <c r="AI31" s="47" t="str">
        <f t="shared" si="16"/>
        <v/>
      </c>
      <c r="AJ31" s="52" t="str">
        <f t="shared" si="17"/>
        <v/>
      </c>
      <c r="AK31" s="46"/>
      <c r="AL31" s="48" t="str">
        <f t="shared" si="18"/>
        <v/>
      </c>
      <c r="AM31" s="52" t="str">
        <f t="shared" si="19"/>
        <v/>
      </c>
      <c r="AN31" s="46"/>
      <c r="AO31" s="48" t="str">
        <f t="shared" si="20"/>
        <v/>
      </c>
      <c r="AP31" s="52" t="str">
        <f t="shared" si="21"/>
        <v/>
      </c>
      <c r="AQ31" s="73"/>
      <c r="AR31" s="55" t="str">
        <f t="shared" si="22"/>
        <v/>
      </c>
      <c r="AS31" s="55" t="str">
        <f t="shared" si="22"/>
        <v/>
      </c>
      <c r="AT31" s="55" t="str">
        <f t="shared" si="22"/>
        <v/>
      </c>
      <c r="AU31" s="46"/>
      <c r="AV31" s="56"/>
      <c r="AW31" s="90"/>
    </row>
    <row r="32" spans="2:49" x14ac:dyDescent="0.2">
      <c r="B32" s="89"/>
      <c r="C32" s="44"/>
      <c r="D32" s="44"/>
      <c r="E32" s="44"/>
      <c r="F32" s="44"/>
      <c r="G32" s="44"/>
      <c r="H32" s="44"/>
      <c r="I32" s="45"/>
      <c r="J32" s="45"/>
      <c r="K32" s="73"/>
      <c r="L32" s="44"/>
      <c r="M32" s="44"/>
      <c r="N32" s="47" t="str">
        <f t="shared" si="7"/>
        <v/>
      </c>
      <c r="O32" s="48" t="str">
        <f>IF(E32="","",VLOOKUP(E32,Metals,5,FALSE))</f>
        <v/>
      </c>
      <c r="P32" s="49" t="str">
        <f t="shared" si="8"/>
        <v/>
      </c>
      <c r="Q32" s="73"/>
      <c r="R32" s="48"/>
      <c r="S32" s="48"/>
      <c r="T32" s="48"/>
      <c r="U32" s="134"/>
      <c r="V32" s="47"/>
      <c r="W32" s="73"/>
      <c r="X32" s="44" t="str">
        <f t="shared" si="9"/>
        <v/>
      </c>
      <c r="Y32" s="49" t="str">
        <f t="shared" si="10"/>
        <v/>
      </c>
      <c r="Z32" s="49" t="str">
        <f t="shared" si="11"/>
        <v/>
      </c>
      <c r="AA32" s="73"/>
      <c r="AB32" s="52" t="str">
        <f t="shared" si="12"/>
        <v/>
      </c>
      <c r="AC32" s="46"/>
      <c r="AD32" s="52" t="str">
        <f t="shared" si="13"/>
        <v/>
      </c>
      <c r="AE32" s="46"/>
      <c r="AF32" s="48" t="str">
        <f t="shared" si="14"/>
        <v/>
      </c>
      <c r="AG32" s="52" t="str">
        <f t="shared" si="15"/>
        <v/>
      </c>
      <c r="AH32" s="46"/>
      <c r="AI32" s="47" t="str">
        <f t="shared" si="16"/>
        <v/>
      </c>
      <c r="AJ32" s="52" t="str">
        <f t="shared" si="17"/>
        <v/>
      </c>
      <c r="AK32" s="46"/>
      <c r="AL32" s="48" t="str">
        <f t="shared" si="18"/>
        <v/>
      </c>
      <c r="AM32" s="52" t="str">
        <f t="shared" si="19"/>
        <v/>
      </c>
      <c r="AN32" s="46"/>
      <c r="AO32" s="48" t="str">
        <f t="shared" si="20"/>
        <v/>
      </c>
      <c r="AP32" s="52" t="str">
        <f t="shared" si="21"/>
        <v/>
      </c>
      <c r="AQ32" s="73"/>
      <c r="AR32" s="55" t="str">
        <f t="shared" si="22"/>
        <v/>
      </c>
      <c r="AS32" s="55" t="str">
        <f t="shared" si="22"/>
        <v/>
      </c>
      <c r="AT32" s="55" t="str">
        <f t="shared" si="22"/>
        <v/>
      </c>
      <c r="AU32" s="46"/>
      <c r="AV32" s="56"/>
      <c r="AW32" s="90"/>
    </row>
    <row r="33" spans="2:49" x14ac:dyDescent="0.2">
      <c r="B33" s="89"/>
      <c r="C33" s="44"/>
      <c r="D33" s="44"/>
      <c r="E33" s="44"/>
      <c r="F33" s="44"/>
      <c r="G33" s="44"/>
      <c r="H33" s="44"/>
      <c r="I33" s="45"/>
      <c r="J33" s="45"/>
      <c r="K33" s="73"/>
      <c r="L33" s="44"/>
      <c r="M33" s="44"/>
      <c r="N33" s="47" t="str">
        <f t="shared" si="7"/>
        <v/>
      </c>
      <c r="O33" s="48" t="str">
        <f>IF(E33="","",VLOOKUP(E33,Metals,5,FALSE))</f>
        <v/>
      </c>
      <c r="P33" s="49" t="str">
        <f t="shared" si="8"/>
        <v/>
      </c>
      <c r="Q33" s="73"/>
      <c r="R33" s="48"/>
      <c r="S33" s="48"/>
      <c r="T33" s="48"/>
      <c r="U33" s="134"/>
      <c r="V33" s="47"/>
      <c r="W33" s="73"/>
      <c r="X33" s="44" t="str">
        <f t="shared" si="9"/>
        <v/>
      </c>
      <c r="Y33" s="49" t="str">
        <f t="shared" si="10"/>
        <v/>
      </c>
      <c r="Z33" s="49" t="str">
        <f t="shared" si="11"/>
        <v/>
      </c>
      <c r="AA33" s="73"/>
      <c r="AB33" s="52" t="str">
        <f t="shared" si="12"/>
        <v/>
      </c>
      <c r="AC33" s="46"/>
      <c r="AD33" s="52" t="str">
        <f t="shared" si="13"/>
        <v/>
      </c>
      <c r="AE33" s="46"/>
      <c r="AF33" s="48" t="str">
        <f t="shared" si="14"/>
        <v/>
      </c>
      <c r="AG33" s="52" t="str">
        <f t="shared" si="15"/>
        <v/>
      </c>
      <c r="AH33" s="46"/>
      <c r="AI33" s="47" t="str">
        <f t="shared" si="16"/>
        <v/>
      </c>
      <c r="AJ33" s="52" t="str">
        <f t="shared" si="17"/>
        <v/>
      </c>
      <c r="AK33" s="46"/>
      <c r="AL33" s="48" t="str">
        <f t="shared" si="18"/>
        <v/>
      </c>
      <c r="AM33" s="52" t="str">
        <f t="shared" si="19"/>
        <v/>
      </c>
      <c r="AN33" s="46"/>
      <c r="AO33" s="48" t="str">
        <f t="shared" si="20"/>
        <v/>
      </c>
      <c r="AP33" s="52" t="str">
        <f t="shared" si="21"/>
        <v/>
      </c>
      <c r="AQ33" s="73"/>
      <c r="AR33" s="55" t="str">
        <f t="shared" si="22"/>
        <v/>
      </c>
      <c r="AS33" s="55" t="str">
        <f t="shared" si="22"/>
        <v/>
      </c>
      <c r="AT33" s="55" t="str">
        <f t="shared" si="22"/>
        <v/>
      </c>
      <c r="AU33" s="46"/>
      <c r="AV33" s="56"/>
      <c r="AW33" s="90"/>
    </row>
    <row r="34" spans="2:49" x14ac:dyDescent="0.2">
      <c r="B34" s="89"/>
      <c r="C34" s="44"/>
      <c r="D34" s="44"/>
      <c r="E34" s="44"/>
      <c r="F34" s="44"/>
      <c r="G34" s="44"/>
      <c r="H34" s="44"/>
      <c r="I34" s="45"/>
      <c r="J34" s="45"/>
      <c r="K34" s="73"/>
      <c r="L34" s="44"/>
      <c r="M34" s="44"/>
      <c r="N34" s="47" t="str">
        <f t="shared" si="7"/>
        <v/>
      </c>
      <c r="O34" s="48" t="str">
        <f>IF(E34="","",VLOOKUP(E34,Metals,5,FALSE))</f>
        <v/>
      </c>
      <c r="P34" s="49" t="str">
        <f t="shared" si="8"/>
        <v/>
      </c>
      <c r="Q34" s="73"/>
      <c r="R34" s="48"/>
      <c r="S34" s="48"/>
      <c r="T34" s="48"/>
      <c r="U34" s="134"/>
      <c r="V34" s="47"/>
      <c r="W34" s="73"/>
      <c r="X34" s="44" t="str">
        <f t="shared" si="9"/>
        <v/>
      </c>
      <c r="Y34" s="49" t="str">
        <f t="shared" si="10"/>
        <v/>
      </c>
      <c r="Z34" s="49" t="str">
        <f t="shared" si="11"/>
        <v/>
      </c>
      <c r="AA34" s="73"/>
      <c r="AB34" s="52" t="str">
        <f t="shared" si="12"/>
        <v/>
      </c>
      <c r="AC34" s="46"/>
      <c r="AD34" s="52" t="str">
        <f t="shared" si="13"/>
        <v/>
      </c>
      <c r="AE34" s="46"/>
      <c r="AF34" s="48" t="str">
        <f t="shared" si="14"/>
        <v/>
      </c>
      <c r="AG34" s="52" t="str">
        <f t="shared" si="15"/>
        <v/>
      </c>
      <c r="AH34" s="46"/>
      <c r="AI34" s="47" t="str">
        <f t="shared" si="16"/>
        <v/>
      </c>
      <c r="AJ34" s="52" t="str">
        <f t="shared" si="17"/>
        <v/>
      </c>
      <c r="AK34" s="46"/>
      <c r="AL34" s="48" t="str">
        <f t="shared" si="18"/>
        <v/>
      </c>
      <c r="AM34" s="52" t="str">
        <f t="shared" si="19"/>
        <v/>
      </c>
      <c r="AN34" s="46"/>
      <c r="AO34" s="48" t="str">
        <f t="shared" si="20"/>
        <v/>
      </c>
      <c r="AP34" s="52" t="str">
        <f t="shared" si="21"/>
        <v/>
      </c>
      <c r="AQ34" s="73"/>
      <c r="AR34" s="55" t="str">
        <f t="shared" si="22"/>
        <v/>
      </c>
      <c r="AS34" s="55" t="str">
        <f t="shared" si="22"/>
        <v/>
      </c>
      <c r="AT34" s="55" t="str">
        <f t="shared" si="22"/>
        <v/>
      </c>
      <c r="AU34" s="46"/>
      <c r="AV34" s="56"/>
      <c r="AW34" s="90"/>
    </row>
    <row r="35" spans="2:49" x14ac:dyDescent="0.2">
      <c r="B35" s="89"/>
      <c r="C35" s="44"/>
      <c r="D35" s="44"/>
      <c r="E35" s="44"/>
      <c r="F35" s="44"/>
      <c r="G35" s="44"/>
      <c r="H35" s="44"/>
      <c r="I35" s="45"/>
      <c r="J35" s="45"/>
      <c r="K35" s="73"/>
      <c r="L35" s="44"/>
      <c r="M35" s="44"/>
      <c r="N35" s="47" t="str">
        <f t="shared" si="7"/>
        <v/>
      </c>
      <c r="O35" s="48" t="str">
        <f>IF(E35="","",VLOOKUP(E35,Metals,5,FALSE))</f>
        <v/>
      </c>
      <c r="P35" s="49" t="str">
        <f t="shared" si="8"/>
        <v/>
      </c>
      <c r="Q35" s="73"/>
      <c r="R35" s="48"/>
      <c r="S35" s="48"/>
      <c r="T35" s="48"/>
      <c r="U35" s="134"/>
      <c r="V35" s="47"/>
      <c r="W35" s="73"/>
      <c r="X35" s="44" t="str">
        <f t="shared" si="9"/>
        <v/>
      </c>
      <c r="Y35" s="49" t="str">
        <f t="shared" si="10"/>
        <v/>
      </c>
      <c r="Z35" s="49" t="str">
        <f t="shared" si="11"/>
        <v/>
      </c>
      <c r="AA35" s="73"/>
      <c r="AB35" s="52" t="str">
        <f t="shared" si="12"/>
        <v/>
      </c>
      <c r="AC35" s="46"/>
      <c r="AD35" s="52" t="str">
        <f t="shared" si="13"/>
        <v/>
      </c>
      <c r="AE35" s="46"/>
      <c r="AF35" s="48" t="str">
        <f t="shared" si="14"/>
        <v/>
      </c>
      <c r="AG35" s="52" t="str">
        <f t="shared" si="15"/>
        <v/>
      </c>
      <c r="AH35" s="46"/>
      <c r="AI35" s="47" t="str">
        <f t="shared" si="16"/>
        <v/>
      </c>
      <c r="AJ35" s="52" t="str">
        <f t="shared" si="17"/>
        <v/>
      </c>
      <c r="AK35" s="46"/>
      <c r="AL35" s="48" t="str">
        <f t="shared" si="18"/>
        <v/>
      </c>
      <c r="AM35" s="52" t="str">
        <f t="shared" si="19"/>
        <v/>
      </c>
      <c r="AN35" s="46"/>
      <c r="AO35" s="48" t="str">
        <f t="shared" si="20"/>
        <v/>
      </c>
      <c r="AP35" s="52" t="str">
        <f t="shared" si="21"/>
        <v/>
      </c>
      <c r="AQ35" s="73"/>
      <c r="AR35" s="55" t="str">
        <f t="shared" si="22"/>
        <v/>
      </c>
      <c r="AS35" s="55" t="str">
        <f t="shared" si="22"/>
        <v/>
      </c>
      <c r="AT35" s="55" t="str">
        <f t="shared" si="22"/>
        <v/>
      </c>
      <c r="AU35" s="46"/>
      <c r="AV35" s="56"/>
      <c r="AW35" s="90"/>
    </row>
    <row r="36" spans="2:49" x14ac:dyDescent="0.2">
      <c r="B36" s="89"/>
      <c r="C36" s="44"/>
      <c r="D36" s="44"/>
      <c r="E36" s="44"/>
      <c r="F36" s="44"/>
      <c r="G36" s="44"/>
      <c r="H36" s="44"/>
      <c r="I36" s="45"/>
      <c r="J36" s="45"/>
      <c r="K36" s="73"/>
      <c r="L36" s="44"/>
      <c r="M36" s="44"/>
      <c r="N36" s="47" t="str">
        <f t="shared" si="7"/>
        <v/>
      </c>
      <c r="O36" s="48" t="str">
        <f>IF(E36="","",VLOOKUP(E36,Metals,5,FALSE))</f>
        <v/>
      </c>
      <c r="P36" s="49" t="str">
        <f t="shared" si="8"/>
        <v/>
      </c>
      <c r="Q36" s="73"/>
      <c r="R36" s="48"/>
      <c r="S36" s="48"/>
      <c r="T36" s="48"/>
      <c r="U36" s="134"/>
      <c r="V36" s="47"/>
      <c r="W36" s="73"/>
      <c r="X36" s="44" t="str">
        <f t="shared" si="9"/>
        <v/>
      </c>
      <c r="Y36" s="49" t="str">
        <f t="shared" si="10"/>
        <v/>
      </c>
      <c r="Z36" s="49" t="str">
        <f t="shared" si="11"/>
        <v/>
      </c>
      <c r="AA36" s="73"/>
      <c r="AB36" s="52" t="str">
        <f t="shared" si="12"/>
        <v/>
      </c>
      <c r="AC36" s="46"/>
      <c r="AD36" s="52" t="str">
        <f t="shared" si="13"/>
        <v/>
      </c>
      <c r="AE36" s="46"/>
      <c r="AF36" s="48" t="str">
        <f t="shared" si="14"/>
        <v/>
      </c>
      <c r="AG36" s="52" t="str">
        <f t="shared" si="15"/>
        <v/>
      </c>
      <c r="AH36" s="46"/>
      <c r="AI36" s="47" t="str">
        <f t="shared" si="16"/>
        <v/>
      </c>
      <c r="AJ36" s="52" t="str">
        <f t="shared" si="17"/>
        <v/>
      </c>
      <c r="AK36" s="46"/>
      <c r="AL36" s="48" t="str">
        <f t="shared" si="18"/>
        <v/>
      </c>
      <c r="AM36" s="52" t="str">
        <f t="shared" si="19"/>
        <v/>
      </c>
      <c r="AN36" s="46"/>
      <c r="AO36" s="48" t="str">
        <f t="shared" si="20"/>
        <v/>
      </c>
      <c r="AP36" s="52" t="str">
        <f t="shared" si="21"/>
        <v/>
      </c>
      <c r="AQ36" s="73"/>
      <c r="AR36" s="55" t="str">
        <f t="shared" si="22"/>
        <v/>
      </c>
      <c r="AS36" s="55" t="str">
        <f t="shared" si="22"/>
        <v/>
      </c>
      <c r="AT36" s="55" t="str">
        <f t="shared" si="22"/>
        <v/>
      </c>
      <c r="AU36" s="46"/>
      <c r="AV36" s="56"/>
      <c r="AW36" s="90"/>
    </row>
    <row r="37" spans="2:49" x14ac:dyDescent="0.2">
      <c r="B37" s="89"/>
      <c r="C37" s="44"/>
      <c r="D37" s="44"/>
      <c r="E37" s="44"/>
      <c r="F37" s="44"/>
      <c r="G37" s="44"/>
      <c r="H37" s="44"/>
      <c r="I37" s="45"/>
      <c r="J37" s="45"/>
      <c r="K37" s="73"/>
      <c r="L37" s="44"/>
      <c r="M37" s="44"/>
      <c r="N37" s="47" t="str">
        <f t="shared" si="7"/>
        <v/>
      </c>
      <c r="O37" s="48" t="str">
        <f>IF(E37="","",VLOOKUP(E37,Metals,5,FALSE))</f>
        <v/>
      </c>
      <c r="P37" s="49" t="str">
        <f t="shared" si="8"/>
        <v/>
      </c>
      <c r="Q37" s="73"/>
      <c r="R37" s="48"/>
      <c r="S37" s="48"/>
      <c r="T37" s="48"/>
      <c r="U37" s="134"/>
      <c r="V37" s="47"/>
      <c r="W37" s="73"/>
      <c r="X37" s="44" t="str">
        <f t="shared" si="9"/>
        <v/>
      </c>
      <c r="Y37" s="49" t="str">
        <f t="shared" si="10"/>
        <v/>
      </c>
      <c r="Z37" s="49" t="str">
        <f t="shared" si="11"/>
        <v/>
      </c>
      <c r="AA37" s="73"/>
      <c r="AB37" s="52" t="str">
        <f t="shared" si="12"/>
        <v/>
      </c>
      <c r="AC37" s="46"/>
      <c r="AD37" s="52" t="str">
        <f t="shared" si="13"/>
        <v/>
      </c>
      <c r="AE37" s="46"/>
      <c r="AF37" s="48" t="str">
        <f t="shared" si="14"/>
        <v/>
      </c>
      <c r="AG37" s="52" t="str">
        <f t="shared" si="15"/>
        <v/>
      </c>
      <c r="AH37" s="46"/>
      <c r="AI37" s="47" t="str">
        <f t="shared" si="16"/>
        <v/>
      </c>
      <c r="AJ37" s="52" t="str">
        <f t="shared" si="17"/>
        <v/>
      </c>
      <c r="AK37" s="46"/>
      <c r="AL37" s="48" t="str">
        <f t="shared" si="18"/>
        <v/>
      </c>
      <c r="AM37" s="52" t="str">
        <f t="shared" si="19"/>
        <v/>
      </c>
      <c r="AN37" s="46"/>
      <c r="AO37" s="48" t="str">
        <f t="shared" si="20"/>
        <v/>
      </c>
      <c r="AP37" s="52" t="str">
        <f t="shared" si="21"/>
        <v/>
      </c>
      <c r="AQ37" s="73"/>
      <c r="AR37" s="55" t="str">
        <f t="shared" si="22"/>
        <v/>
      </c>
      <c r="AS37" s="55" t="str">
        <f t="shared" si="22"/>
        <v/>
      </c>
      <c r="AT37" s="55" t="str">
        <f t="shared" si="22"/>
        <v/>
      </c>
      <c r="AU37" s="46"/>
      <c r="AV37" s="56"/>
      <c r="AW37" s="90"/>
    </row>
    <row r="38" spans="2:49" x14ac:dyDescent="0.2">
      <c r="B38" s="89"/>
      <c r="C38" s="44"/>
      <c r="D38" s="44"/>
      <c r="E38" s="44"/>
      <c r="F38" s="44"/>
      <c r="G38" s="44"/>
      <c r="H38" s="44"/>
      <c r="I38" s="45"/>
      <c r="J38" s="45"/>
      <c r="K38" s="73"/>
      <c r="L38" s="44"/>
      <c r="M38" s="44"/>
      <c r="N38" s="47" t="str">
        <f t="shared" si="7"/>
        <v/>
      </c>
      <c r="O38" s="48" t="str">
        <f>IF(E38="","",VLOOKUP(E38,Metals,5,FALSE))</f>
        <v/>
      </c>
      <c r="P38" s="49" t="str">
        <f t="shared" si="8"/>
        <v/>
      </c>
      <c r="Q38" s="73"/>
      <c r="R38" s="48"/>
      <c r="S38" s="48"/>
      <c r="T38" s="48"/>
      <c r="U38" s="134"/>
      <c r="V38" s="47"/>
      <c r="W38" s="73"/>
      <c r="X38" s="44" t="str">
        <f t="shared" si="9"/>
        <v/>
      </c>
      <c r="Y38" s="49" t="str">
        <f t="shared" si="10"/>
        <v/>
      </c>
      <c r="Z38" s="49" t="str">
        <f t="shared" si="11"/>
        <v/>
      </c>
      <c r="AA38" s="73"/>
      <c r="AB38" s="52" t="str">
        <f t="shared" si="12"/>
        <v/>
      </c>
      <c r="AC38" s="46"/>
      <c r="AD38" s="52" t="str">
        <f t="shared" si="13"/>
        <v/>
      </c>
      <c r="AE38" s="46"/>
      <c r="AF38" s="48" t="str">
        <f t="shared" si="14"/>
        <v/>
      </c>
      <c r="AG38" s="52" t="str">
        <f t="shared" si="15"/>
        <v/>
      </c>
      <c r="AH38" s="46"/>
      <c r="AI38" s="47" t="str">
        <f t="shared" si="16"/>
        <v/>
      </c>
      <c r="AJ38" s="52" t="str">
        <f t="shared" si="17"/>
        <v/>
      </c>
      <c r="AK38" s="46"/>
      <c r="AL38" s="48" t="str">
        <f t="shared" si="18"/>
        <v/>
      </c>
      <c r="AM38" s="52" t="str">
        <f t="shared" si="19"/>
        <v/>
      </c>
      <c r="AN38" s="46"/>
      <c r="AO38" s="48" t="str">
        <f t="shared" si="20"/>
        <v/>
      </c>
      <c r="AP38" s="52" t="str">
        <f t="shared" si="21"/>
        <v/>
      </c>
      <c r="AQ38" s="73"/>
      <c r="AR38" s="55" t="str">
        <f t="shared" si="22"/>
        <v/>
      </c>
      <c r="AS38" s="55" t="str">
        <f t="shared" si="22"/>
        <v/>
      </c>
      <c r="AT38" s="55" t="str">
        <f t="shared" si="22"/>
        <v/>
      </c>
      <c r="AU38" s="46"/>
      <c r="AV38" s="56"/>
      <c r="AW38" s="90"/>
    </row>
    <row r="39" spans="2:49" x14ac:dyDescent="0.2">
      <c r="B39" s="89"/>
      <c r="C39" s="44"/>
      <c r="D39" s="44"/>
      <c r="E39" s="44"/>
      <c r="F39" s="44"/>
      <c r="G39" s="44"/>
      <c r="H39" s="44"/>
      <c r="I39" s="45"/>
      <c r="J39" s="45"/>
      <c r="K39" s="73"/>
      <c r="L39" s="44"/>
      <c r="M39" s="44"/>
      <c r="N39" s="47" t="str">
        <f t="shared" si="7"/>
        <v/>
      </c>
      <c r="O39" s="48" t="str">
        <f>IF(E39="","",VLOOKUP(E39,Metals,5,FALSE))</f>
        <v/>
      </c>
      <c r="P39" s="49" t="str">
        <f t="shared" si="8"/>
        <v/>
      </c>
      <c r="Q39" s="73"/>
      <c r="R39" s="48"/>
      <c r="S39" s="48"/>
      <c r="T39" s="48"/>
      <c r="U39" s="134"/>
      <c r="V39" s="47"/>
      <c r="W39" s="73"/>
      <c r="X39" s="44" t="str">
        <f t="shared" si="9"/>
        <v/>
      </c>
      <c r="Y39" s="49" t="str">
        <f t="shared" si="10"/>
        <v/>
      </c>
      <c r="Z39" s="49" t="str">
        <f t="shared" si="11"/>
        <v/>
      </c>
      <c r="AA39" s="73"/>
      <c r="AB39" s="52" t="str">
        <f t="shared" si="12"/>
        <v/>
      </c>
      <c r="AC39" s="46"/>
      <c r="AD39" s="52" t="str">
        <f t="shared" si="13"/>
        <v/>
      </c>
      <c r="AE39" s="46"/>
      <c r="AF39" s="48" t="str">
        <f t="shared" si="14"/>
        <v/>
      </c>
      <c r="AG39" s="52" t="str">
        <f t="shared" si="15"/>
        <v/>
      </c>
      <c r="AH39" s="46"/>
      <c r="AI39" s="47" t="str">
        <f t="shared" si="16"/>
        <v/>
      </c>
      <c r="AJ39" s="52" t="str">
        <f t="shared" si="17"/>
        <v/>
      </c>
      <c r="AK39" s="46"/>
      <c r="AL39" s="48" t="str">
        <f t="shared" si="18"/>
        <v/>
      </c>
      <c r="AM39" s="52" t="str">
        <f t="shared" si="19"/>
        <v/>
      </c>
      <c r="AN39" s="46"/>
      <c r="AO39" s="48" t="str">
        <f t="shared" si="20"/>
        <v/>
      </c>
      <c r="AP39" s="52" t="str">
        <f t="shared" si="21"/>
        <v/>
      </c>
      <c r="AQ39" s="73"/>
      <c r="AR39" s="55" t="str">
        <f t="shared" si="22"/>
        <v/>
      </c>
      <c r="AS39" s="55" t="str">
        <f t="shared" si="22"/>
        <v/>
      </c>
      <c r="AT39" s="55" t="str">
        <f t="shared" si="22"/>
        <v/>
      </c>
      <c r="AU39" s="46"/>
      <c r="AV39" s="56"/>
      <c r="AW39" s="90"/>
    </row>
    <row r="40" spans="2:49" x14ac:dyDescent="0.2">
      <c r="B40" s="89"/>
      <c r="C40" s="44"/>
      <c r="D40" s="44"/>
      <c r="E40" s="44"/>
      <c r="F40" s="44"/>
      <c r="G40" s="44"/>
      <c r="H40" s="44"/>
      <c r="I40" s="45"/>
      <c r="J40" s="45"/>
      <c r="K40" s="73"/>
      <c r="L40" s="44"/>
      <c r="M40" s="44"/>
      <c r="N40" s="47" t="str">
        <f t="shared" si="7"/>
        <v/>
      </c>
      <c r="O40" s="48" t="str">
        <f>IF(E40="","",VLOOKUP(E40,Metals,5,FALSE))</f>
        <v/>
      </c>
      <c r="P40" s="49" t="str">
        <f t="shared" si="8"/>
        <v/>
      </c>
      <c r="Q40" s="73"/>
      <c r="R40" s="48"/>
      <c r="S40" s="48"/>
      <c r="T40" s="48"/>
      <c r="U40" s="134"/>
      <c r="V40" s="47"/>
      <c r="W40" s="73"/>
      <c r="X40" s="44" t="str">
        <f t="shared" si="9"/>
        <v/>
      </c>
      <c r="Y40" s="49" t="str">
        <f t="shared" si="10"/>
        <v/>
      </c>
      <c r="Z40" s="49" t="str">
        <f t="shared" si="11"/>
        <v/>
      </c>
      <c r="AA40" s="73"/>
      <c r="AB40" s="52" t="str">
        <f t="shared" si="12"/>
        <v/>
      </c>
      <c r="AC40" s="46"/>
      <c r="AD40" s="52" t="str">
        <f t="shared" si="13"/>
        <v/>
      </c>
      <c r="AE40" s="46"/>
      <c r="AF40" s="48" t="str">
        <f t="shared" si="14"/>
        <v/>
      </c>
      <c r="AG40" s="52" t="str">
        <f t="shared" si="15"/>
        <v/>
      </c>
      <c r="AH40" s="46"/>
      <c r="AI40" s="47" t="str">
        <f t="shared" si="16"/>
        <v/>
      </c>
      <c r="AJ40" s="52" t="str">
        <f t="shared" si="17"/>
        <v/>
      </c>
      <c r="AK40" s="46"/>
      <c r="AL40" s="48" t="str">
        <f t="shared" si="18"/>
        <v/>
      </c>
      <c r="AM40" s="52" t="str">
        <f t="shared" si="19"/>
        <v/>
      </c>
      <c r="AN40" s="46"/>
      <c r="AO40" s="48" t="str">
        <f t="shared" si="20"/>
        <v/>
      </c>
      <c r="AP40" s="52" t="str">
        <f t="shared" si="21"/>
        <v/>
      </c>
      <c r="AQ40" s="73"/>
      <c r="AR40" s="55" t="str">
        <f t="shared" si="22"/>
        <v/>
      </c>
      <c r="AS40" s="55" t="str">
        <f t="shared" si="22"/>
        <v/>
      </c>
      <c r="AT40" s="55" t="str">
        <f t="shared" si="22"/>
        <v/>
      </c>
      <c r="AU40" s="46"/>
      <c r="AV40" s="56"/>
      <c r="AW40" s="90"/>
    </row>
    <row r="41" spans="2:49" x14ac:dyDescent="0.2">
      <c r="B41" s="89"/>
      <c r="C41" s="44"/>
      <c r="D41" s="44"/>
      <c r="E41" s="44"/>
      <c r="F41" s="44"/>
      <c r="G41" s="44"/>
      <c r="H41" s="44"/>
      <c r="I41" s="45"/>
      <c r="J41" s="45"/>
      <c r="K41" s="73"/>
      <c r="L41" s="44"/>
      <c r="M41" s="44"/>
      <c r="N41" s="47" t="str">
        <f t="shared" si="7"/>
        <v/>
      </c>
      <c r="O41" s="48" t="str">
        <f>IF(E41="","",VLOOKUP(E41,Metals,5,FALSE))</f>
        <v/>
      </c>
      <c r="P41" s="49" t="str">
        <f t="shared" si="8"/>
        <v/>
      </c>
      <c r="Q41" s="73"/>
      <c r="R41" s="48"/>
      <c r="S41" s="48"/>
      <c r="T41" s="48"/>
      <c r="U41" s="134"/>
      <c r="V41" s="47"/>
      <c r="W41" s="73"/>
      <c r="X41" s="44" t="str">
        <f t="shared" si="9"/>
        <v/>
      </c>
      <c r="Y41" s="49" t="str">
        <f t="shared" si="10"/>
        <v/>
      </c>
      <c r="Z41" s="49" t="str">
        <f t="shared" si="11"/>
        <v/>
      </c>
      <c r="AA41" s="73"/>
      <c r="AB41" s="52" t="str">
        <f t="shared" si="12"/>
        <v/>
      </c>
      <c r="AC41" s="46"/>
      <c r="AD41" s="52" t="str">
        <f t="shared" si="13"/>
        <v/>
      </c>
      <c r="AE41" s="46"/>
      <c r="AF41" s="48" t="str">
        <f t="shared" si="14"/>
        <v/>
      </c>
      <c r="AG41" s="52" t="str">
        <f t="shared" si="15"/>
        <v/>
      </c>
      <c r="AH41" s="46"/>
      <c r="AI41" s="47" t="str">
        <f t="shared" si="16"/>
        <v/>
      </c>
      <c r="AJ41" s="52" t="str">
        <f t="shared" si="17"/>
        <v/>
      </c>
      <c r="AK41" s="46"/>
      <c r="AL41" s="48" t="str">
        <f t="shared" si="18"/>
        <v/>
      </c>
      <c r="AM41" s="52" t="str">
        <f t="shared" si="19"/>
        <v/>
      </c>
      <c r="AN41" s="46"/>
      <c r="AO41" s="48" t="str">
        <f t="shared" si="20"/>
        <v/>
      </c>
      <c r="AP41" s="52" t="str">
        <f t="shared" si="21"/>
        <v/>
      </c>
      <c r="AQ41" s="73"/>
      <c r="AR41" s="55" t="str">
        <f t="shared" si="22"/>
        <v/>
      </c>
      <c r="AS41" s="55" t="str">
        <f t="shared" si="22"/>
        <v/>
      </c>
      <c r="AT41" s="55" t="str">
        <f t="shared" si="22"/>
        <v/>
      </c>
      <c r="AU41" s="46"/>
      <c r="AV41" s="56"/>
      <c r="AW41" s="90"/>
    </row>
    <row r="42" spans="2:49" x14ac:dyDescent="0.2">
      <c r="B42" s="89"/>
      <c r="C42" s="44"/>
      <c r="D42" s="44"/>
      <c r="E42" s="44"/>
      <c r="F42" s="44"/>
      <c r="G42" s="44"/>
      <c r="H42" s="44"/>
      <c r="I42" s="45"/>
      <c r="J42" s="45"/>
      <c r="K42" s="73"/>
      <c r="L42" s="44"/>
      <c r="M42" s="44"/>
      <c r="N42" s="47" t="str">
        <f t="shared" si="7"/>
        <v/>
      </c>
      <c r="O42" s="48" t="str">
        <f>IF(E42="","",VLOOKUP(E42,Metals,5,FALSE))</f>
        <v/>
      </c>
      <c r="P42" s="49" t="str">
        <f t="shared" si="8"/>
        <v/>
      </c>
      <c r="Q42" s="73"/>
      <c r="R42" s="48"/>
      <c r="S42" s="48"/>
      <c r="T42" s="48"/>
      <c r="U42" s="134"/>
      <c r="V42" s="47"/>
      <c r="W42" s="73"/>
      <c r="X42" s="44" t="str">
        <f t="shared" si="9"/>
        <v/>
      </c>
      <c r="Y42" s="49" t="str">
        <f t="shared" si="10"/>
        <v/>
      </c>
      <c r="Z42" s="49" t="str">
        <f t="shared" si="11"/>
        <v/>
      </c>
      <c r="AA42" s="73"/>
      <c r="AB42" s="52" t="str">
        <f t="shared" si="12"/>
        <v/>
      </c>
      <c r="AC42" s="46"/>
      <c r="AD42" s="52" t="str">
        <f t="shared" si="13"/>
        <v/>
      </c>
      <c r="AE42" s="46"/>
      <c r="AF42" s="48" t="str">
        <f t="shared" si="14"/>
        <v/>
      </c>
      <c r="AG42" s="52" t="str">
        <f t="shared" si="15"/>
        <v/>
      </c>
      <c r="AH42" s="46"/>
      <c r="AI42" s="47" t="str">
        <f t="shared" si="16"/>
        <v/>
      </c>
      <c r="AJ42" s="52" t="str">
        <f t="shared" si="17"/>
        <v/>
      </c>
      <c r="AK42" s="46"/>
      <c r="AL42" s="48" t="str">
        <f t="shared" si="18"/>
        <v/>
      </c>
      <c r="AM42" s="52" t="str">
        <f t="shared" si="19"/>
        <v/>
      </c>
      <c r="AN42" s="46"/>
      <c r="AO42" s="48" t="str">
        <f t="shared" si="20"/>
        <v/>
      </c>
      <c r="AP42" s="52" t="str">
        <f t="shared" si="21"/>
        <v/>
      </c>
      <c r="AQ42" s="73"/>
      <c r="AR42" s="55" t="str">
        <f t="shared" si="22"/>
        <v/>
      </c>
      <c r="AS42" s="55" t="str">
        <f t="shared" si="22"/>
        <v/>
      </c>
      <c r="AT42" s="55" t="str">
        <f t="shared" si="22"/>
        <v/>
      </c>
      <c r="AU42" s="46"/>
      <c r="AV42" s="56"/>
      <c r="AW42" s="90"/>
    </row>
    <row r="43" spans="2:49" x14ac:dyDescent="0.2">
      <c r="B43" s="89"/>
      <c r="C43" s="44"/>
      <c r="D43" s="44"/>
      <c r="E43" s="44"/>
      <c r="F43" s="44"/>
      <c r="G43" s="44"/>
      <c r="H43" s="44"/>
      <c r="I43" s="45"/>
      <c r="J43" s="45"/>
      <c r="K43" s="73"/>
      <c r="L43" s="44"/>
      <c r="M43" s="44"/>
      <c r="N43" s="47" t="str">
        <f t="shared" si="7"/>
        <v/>
      </c>
      <c r="O43" s="48" t="str">
        <f>IF(E43="","",VLOOKUP(E43,Metals,5,FALSE))</f>
        <v/>
      </c>
      <c r="P43" s="49" t="str">
        <f t="shared" si="8"/>
        <v/>
      </c>
      <c r="Q43" s="73"/>
      <c r="R43" s="48"/>
      <c r="S43" s="48"/>
      <c r="T43" s="48"/>
      <c r="U43" s="134"/>
      <c r="V43" s="47"/>
      <c r="W43" s="73"/>
      <c r="X43" s="44" t="str">
        <f t="shared" si="9"/>
        <v/>
      </c>
      <c r="Y43" s="49" t="str">
        <f t="shared" si="10"/>
        <v/>
      </c>
      <c r="Z43" s="49" t="str">
        <f t="shared" si="11"/>
        <v/>
      </c>
      <c r="AA43" s="73"/>
      <c r="AB43" s="52" t="str">
        <f t="shared" si="12"/>
        <v/>
      </c>
      <c r="AC43" s="46"/>
      <c r="AD43" s="52" t="str">
        <f t="shared" si="13"/>
        <v/>
      </c>
      <c r="AE43" s="46"/>
      <c r="AF43" s="48" t="str">
        <f t="shared" si="14"/>
        <v/>
      </c>
      <c r="AG43" s="52" t="str">
        <f t="shared" si="15"/>
        <v/>
      </c>
      <c r="AH43" s="46"/>
      <c r="AI43" s="47" t="str">
        <f t="shared" si="16"/>
        <v/>
      </c>
      <c r="AJ43" s="52" t="str">
        <f t="shared" si="17"/>
        <v/>
      </c>
      <c r="AK43" s="46"/>
      <c r="AL43" s="48" t="str">
        <f t="shared" si="18"/>
        <v/>
      </c>
      <c r="AM43" s="52" t="str">
        <f t="shared" si="19"/>
        <v/>
      </c>
      <c r="AN43" s="46"/>
      <c r="AO43" s="48" t="str">
        <f t="shared" si="20"/>
        <v/>
      </c>
      <c r="AP43" s="52" t="str">
        <f t="shared" si="21"/>
        <v/>
      </c>
      <c r="AQ43" s="73"/>
      <c r="AR43" s="55" t="str">
        <f t="shared" si="22"/>
        <v/>
      </c>
      <c r="AS43" s="55" t="str">
        <f t="shared" si="22"/>
        <v/>
      </c>
      <c r="AT43" s="55" t="str">
        <f t="shared" si="22"/>
        <v/>
      </c>
      <c r="AU43" s="46"/>
      <c r="AV43" s="56"/>
      <c r="AW43" s="90"/>
    </row>
    <row r="44" spans="2:49" x14ac:dyDescent="0.2">
      <c r="B44" s="89"/>
      <c r="C44" s="44"/>
      <c r="D44" s="44"/>
      <c r="E44" s="44"/>
      <c r="F44" s="44"/>
      <c r="G44" s="44"/>
      <c r="H44" s="44"/>
      <c r="I44" s="45"/>
      <c r="J44" s="45"/>
      <c r="K44" s="73"/>
      <c r="L44" s="44"/>
      <c r="M44" s="44"/>
      <c r="N44" s="47" t="str">
        <f t="shared" si="7"/>
        <v/>
      </c>
      <c r="O44" s="48" t="str">
        <f>IF(E44="","",VLOOKUP(E44,Metals,5,FALSE))</f>
        <v/>
      </c>
      <c r="P44" s="49" t="str">
        <f t="shared" si="8"/>
        <v/>
      </c>
      <c r="Q44" s="73"/>
      <c r="R44" s="48"/>
      <c r="S44" s="48"/>
      <c r="T44" s="48"/>
      <c r="U44" s="134"/>
      <c r="V44" s="47"/>
      <c r="W44" s="73"/>
      <c r="X44" s="44" t="str">
        <f t="shared" si="9"/>
        <v/>
      </c>
      <c r="Y44" s="49" t="str">
        <f t="shared" si="10"/>
        <v/>
      </c>
      <c r="Z44" s="49" t="str">
        <f t="shared" si="11"/>
        <v/>
      </c>
      <c r="AA44" s="73"/>
      <c r="AB44" s="52" t="str">
        <f t="shared" si="12"/>
        <v/>
      </c>
      <c r="AC44" s="46"/>
      <c r="AD44" s="52" t="str">
        <f t="shared" si="13"/>
        <v/>
      </c>
      <c r="AE44" s="46"/>
      <c r="AF44" s="48" t="str">
        <f t="shared" si="14"/>
        <v/>
      </c>
      <c r="AG44" s="52" t="str">
        <f t="shared" si="15"/>
        <v/>
      </c>
      <c r="AH44" s="46"/>
      <c r="AI44" s="47" t="str">
        <f t="shared" si="16"/>
        <v/>
      </c>
      <c r="AJ44" s="52" t="str">
        <f t="shared" si="17"/>
        <v/>
      </c>
      <c r="AK44" s="46"/>
      <c r="AL44" s="48" t="str">
        <f t="shared" si="18"/>
        <v/>
      </c>
      <c r="AM44" s="52" t="str">
        <f t="shared" si="19"/>
        <v/>
      </c>
      <c r="AN44" s="46"/>
      <c r="AO44" s="48" t="str">
        <f t="shared" si="20"/>
        <v/>
      </c>
      <c r="AP44" s="52" t="str">
        <f t="shared" si="21"/>
        <v/>
      </c>
      <c r="AQ44" s="73"/>
      <c r="AR44" s="55" t="str">
        <f t="shared" si="22"/>
        <v/>
      </c>
      <c r="AS44" s="55" t="str">
        <f t="shared" si="22"/>
        <v/>
      </c>
      <c r="AT44" s="55" t="str">
        <f t="shared" si="22"/>
        <v/>
      </c>
      <c r="AU44" s="46"/>
      <c r="AV44" s="56"/>
      <c r="AW44" s="90"/>
    </row>
    <row r="45" spans="2:49" x14ac:dyDescent="0.2">
      <c r="B45" s="89"/>
      <c r="C45" s="44"/>
      <c r="D45" s="44"/>
      <c r="E45" s="44"/>
      <c r="F45" s="44"/>
      <c r="G45" s="44"/>
      <c r="H45" s="44"/>
      <c r="I45" s="45"/>
      <c r="J45" s="45"/>
      <c r="K45" s="73"/>
      <c r="L45" s="44"/>
      <c r="M45" s="44"/>
      <c r="N45" s="47" t="str">
        <f t="shared" si="7"/>
        <v/>
      </c>
      <c r="O45" s="48" t="str">
        <f>IF(E45="","",VLOOKUP(E45,Metals,5,FALSE))</f>
        <v/>
      </c>
      <c r="P45" s="49" t="str">
        <f t="shared" si="8"/>
        <v/>
      </c>
      <c r="Q45" s="73"/>
      <c r="R45" s="48"/>
      <c r="S45" s="48"/>
      <c r="T45" s="48"/>
      <c r="U45" s="134"/>
      <c r="V45" s="47"/>
      <c r="W45" s="73"/>
      <c r="X45" s="44" t="str">
        <f t="shared" si="9"/>
        <v/>
      </c>
      <c r="Y45" s="49" t="str">
        <f t="shared" si="10"/>
        <v/>
      </c>
      <c r="Z45" s="49" t="str">
        <f t="shared" si="11"/>
        <v/>
      </c>
      <c r="AA45" s="73"/>
      <c r="AB45" s="52" t="str">
        <f t="shared" si="12"/>
        <v/>
      </c>
      <c r="AC45" s="46"/>
      <c r="AD45" s="52" t="str">
        <f t="shared" si="13"/>
        <v/>
      </c>
      <c r="AE45" s="46"/>
      <c r="AF45" s="48" t="str">
        <f t="shared" si="14"/>
        <v/>
      </c>
      <c r="AG45" s="52" t="str">
        <f t="shared" si="15"/>
        <v/>
      </c>
      <c r="AH45" s="46"/>
      <c r="AI45" s="47" t="str">
        <f t="shared" si="16"/>
        <v/>
      </c>
      <c r="AJ45" s="52" t="str">
        <f t="shared" si="17"/>
        <v/>
      </c>
      <c r="AK45" s="46"/>
      <c r="AL45" s="48" t="str">
        <f t="shared" si="18"/>
        <v/>
      </c>
      <c r="AM45" s="52" t="str">
        <f t="shared" si="19"/>
        <v/>
      </c>
      <c r="AN45" s="46"/>
      <c r="AO45" s="48" t="str">
        <f t="shared" si="20"/>
        <v/>
      </c>
      <c r="AP45" s="52" t="str">
        <f t="shared" si="21"/>
        <v/>
      </c>
      <c r="AQ45" s="73"/>
      <c r="AR45" s="55" t="str">
        <f t="shared" si="22"/>
        <v/>
      </c>
      <c r="AS45" s="55" t="str">
        <f t="shared" si="22"/>
        <v/>
      </c>
      <c r="AT45" s="55" t="str">
        <f t="shared" si="22"/>
        <v/>
      </c>
      <c r="AU45" s="46"/>
      <c r="AV45" s="56"/>
      <c r="AW45" s="90"/>
    </row>
    <row r="46" spans="2:49" x14ac:dyDescent="0.2">
      <c r="B46" s="89"/>
      <c r="C46" s="44"/>
      <c r="D46" s="44"/>
      <c r="E46" s="44"/>
      <c r="F46" s="44"/>
      <c r="G46" s="44"/>
      <c r="H46" s="44"/>
      <c r="I46" s="45"/>
      <c r="J46" s="45"/>
      <c r="K46" s="73"/>
      <c r="L46" s="44"/>
      <c r="M46" s="44"/>
      <c r="N46" s="47" t="str">
        <f t="shared" si="7"/>
        <v/>
      </c>
      <c r="O46" s="48" t="str">
        <f>IF(E46="","",VLOOKUP(E46,Metals,5,FALSE))</f>
        <v/>
      </c>
      <c r="P46" s="49" t="str">
        <f t="shared" si="8"/>
        <v/>
      </c>
      <c r="Q46" s="73"/>
      <c r="R46" s="48"/>
      <c r="S46" s="48"/>
      <c r="T46" s="48"/>
      <c r="U46" s="134"/>
      <c r="V46" s="47"/>
      <c r="W46" s="73"/>
      <c r="X46" s="44" t="str">
        <f t="shared" si="9"/>
        <v/>
      </c>
      <c r="Y46" s="49" t="str">
        <f t="shared" si="10"/>
        <v/>
      </c>
      <c r="Z46" s="49" t="str">
        <f t="shared" si="11"/>
        <v/>
      </c>
      <c r="AA46" s="73"/>
      <c r="AB46" s="52" t="str">
        <f t="shared" si="12"/>
        <v/>
      </c>
      <c r="AC46" s="46"/>
      <c r="AD46" s="52" t="str">
        <f t="shared" si="13"/>
        <v/>
      </c>
      <c r="AE46" s="46"/>
      <c r="AF46" s="48" t="str">
        <f t="shared" si="14"/>
        <v/>
      </c>
      <c r="AG46" s="52" t="str">
        <f t="shared" si="15"/>
        <v/>
      </c>
      <c r="AH46" s="46"/>
      <c r="AI46" s="47" t="str">
        <f t="shared" si="16"/>
        <v/>
      </c>
      <c r="AJ46" s="52" t="str">
        <f t="shared" si="17"/>
        <v/>
      </c>
      <c r="AK46" s="46"/>
      <c r="AL46" s="48" t="str">
        <f t="shared" si="18"/>
        <v/>
      </c>
      <c r="AM46" s="52" t="str">
        <f t="shared" si="19"/>
        <v/>
      </c>
      <c r="AN46" s="46"/>
      <c r="AO46" s="48" t="str">
        <f t="shared" si="20"/>
        <v/>
      </c>
      <c r="AP46" s="52" t="str">
        <f t="shared" si="21"/>
        <v/>
      </c>
      <c r="AQ46" s="73"/>
      <c r="AR46" s="55" t="str">
        <f t="shared" si="22"/>
        <v/>
      </c>
      <c r="AS46" s="55" t="str">
        <f t="shared" si="22"/>
        <v/>
      </c>
      <c r="AT46" s="55" t="str">
        <f t="shared" si="22"/>
        <v/>
      </c>
      <c r="AU46" s="46"/>
      <c r="AV46" s="56"/>
      <c r="AW46" s="90"/>
    </row>
    <row r="47" spans="2:49" x14ac:dyDescent="0.2">
      <c r="B47" s="89"/>
      <c r="C47" s="44"/>
      <c r="D47" s="44"/>
      <c r="E47" s="44"/>
      <c r="F47" s="44"/>
      <c r="G47" s="44"/>
      <c r="H47" s="44"/>
      <c r="I47" s="45"/>
      <c r="J47" s="45"/>
      <c r="K47" s="73"/>
      <c r="L47" s="44"/>
      <c r="M47" s="44"/>
      <c r="N47" s="47" t="str">
        <f t="shared" si="7"/>
        <v/>
      </c>
      <c r="O47" s="48" t="str">
        <f>IF(E47="","",VLOOKUP(E47,Metals,5,FALSE))</f>
        <v/>
      </c>
      <c r="P47" s="49" t="str">
        <f t="shared" si="8"/>
        <v/>
      </c>
      <c r="Q47" s="73"/>
      <c r="R47" s="48"/>
      <c r="S47" s="48"/>
      <c r="T47" s="48"/>
      <c r="U47" s="134"/>
      <c r="V47" s="47"/>
      <c r="W47" s="73"/>
      <c r="X47" s="44" t="str">
        <f t="shared" si="9"/>
        <v/>
      </c>
      <c r="Y47" s="49" t="str">
        <f t="shared" si="10"/>
        <v/>
      </c>
      <c r="Z47" s="49" t="str">
        <f t="shared" si="11"/>
        <v/>
      </c>
      <c r="AA47" s="73"/>
      <c r="AB47" s="52" t="str">
        <f t="shared" si="12"/>
        <v/>
      </c>
      <c r="AC47" s="46"/>
      <c r="AD47" s="52" t="str">
        <f t="shared" si="13"/>
        <v/>
      </c>
      <c r="AE47" s="46"/>
      <c r="AF47" s="48" t="str">
        <f t="shared" si="14"/>
        <v/>
      </c>
      <c r="AG47" s="52" t="str">
        <f t="shared" si="15"/>
        <v/>
      </c>
      <c r="AH47" s="46"/>
      <c r="AI47" s="47" t="str">
        <f t="shared" si="16"/>
        <v/>
      </c>
      <c r="AJ47" s="52" t="str">
        <f t="shared" si="17"/>
        <v/>
      </c>
      <c r="AK47" s="46"/>
      <c r="AL47" s="48" t="str">
        <f t="shared" si="18"/>
        <v/>
      </c>
      <c r="AM47" s="52" t="str">
        <f t="shared" si="19"/>
        <v/>
      </c>
      <c r="AN47" s="46"/>
      <c r="AO47" s="48" t="str">
        <f t="shared" si="20"/>
        <v/>
      </c>
      <c r="AP47" s="52" t="str">
        <f t="shared" si="21"/>
        <v/>
      </c>
      <c r="AQ47" s="73"/>
      <c r="AR47" s="55" t="str">
        <f t="shared" si="22"/>
        <v/>
      </c>
      <c r="AS47" s="55" t="str">
        <f t="shared" si="22"/>
        <v/>
      </c>
      <c r="AT47" s="55" t="str">
        <f t="shared" si="22"/>
        <v/>
      </c>
      <c r="AU47" s="46"/>
      <c r="AV47" s="56"/>
      <c r="AW47" s="90"/>
    </row>
    <row r="48" spans="2:49" x14ac:dyDescent="0.2">
      <c r="B48" s="89"/>
      <c r="C48" s="44"/>
      <c r="D48" s="44"/>
      <c r="E48" s="44"/>
      <c r="F48" s="44"/>
      <c r="G48" s="44"/>
      <c r="H48" s="44"/>
      <c r="I48" s="45"/>
      <c r="J48" s="45"/>
      <c r="K48" s="73"/>
      <c r="L48" s="44"/>
      <c r="M48" s="44"/>
      <c r="N48" s="47" t="str">
        <f t="shared" si="7"/>
        <v/>
      </c>
      <c r="O48" s="48" t="str">
        <f>IF(E48="","",VLOOKUP(E48,Metals,5,FALSE))</f>
        <v/>
      </c>
      <c r="P48" s="49" t="str">
        <f t="shared" si="8"/>
        <v/>
      </c>
      <c r="Q48" s="73"/>
      <c r="R48" s="48"/>
      <c r="S48" s="48"/>
      <c r="T48" s="48"/>
      <c r="U48" s="134"/>
      <c r="V48" s="47"/>
      <c r="W48" s="73"/>
      <c r="X48" s="44" t="str">
        <f t="shared" si="9"/>
        <v/>
      </c>
      <c r="Y48" s="49" t="str">
        <f t="shared" si="10"/>
        <v/>
      </c>
      <c r="Z48" s="49" t="str">
        <f t="shared" si="11"/>
        <v/>
      </c>
      <c r="AA48" s="73"/>
      <c r="AB48" s="52" t="str">
        <f t="shared" si="12"/>
        <v/>
      </c>
      <c r="AC48" s="46"/>
      <c r="AD48" s="52" t="str">
        <f t="shared" si="13"/>
        <v/>
      </c>
      <c r="AE48" s="46"/>
      <c r="AF48" s="48" t="str">
        <f t="shared" si="14"/>
        <v/>
      </c>
      <c r="AG48" s="52" t="str">
        <f t="shared" si="15"/>
        <v/>
      </c>
      <c r="AH48" s="46"/>
      <c r="AI48" s="47" t="str">
        <f t="shared" si="16"/>
        <v/>
      </c>
      <c r="AJ48" s="52" t="str">
        <f t="shared" si="17"/>
        <v/>
      </c>
      <c r="AK48" s="46"/>
      <c r="AL48" s="48" t="str">
        <f t="shared" si="18"/>
        <v/>
      </c>
      <c r="AM48" s="52" t="str">
        <f t="shared" si="19"/>
        <v/>
      </c>
      <c r="AN48" s="46"/>
      <c r="AO48" s="48" t="str">
        <f t="shared" si="20"/>
        <v/>
      </c>
      <c r="AP48" s="52" t="str">
        <f t="shared" si="21"/>
        <v/>
      </c>
      <c r="AQ48" s="73"/>
      <c r="AR48" s="55" t="str">
        <f t="shared" si="22"/>
        <v/>
      </c>
      <c r="AS48" s="55" t="str">
        <f t="shared" si="22"/>
        <v/>
      </c>
      <c r="AT48" s="55" t="str">
        <f t="shared" si="22"/>
        <v/>
      </c>
      <c r="AU48" s="46"/>
      <c r="AV48" s="56"/>
      <c r="AW48" s="90"/>
    </row>
    <row r="49" spans="2:49" ht="11" customHeight="1" thickBot="1" x14ac:dyDescent="0.25">
      <c r="B49" s="94"/>
      <c r="C49" s="95"/>
      <c r="D49" s="95"/>
      <c r="E49" s="95"/>
      <c r="F49" s="95"/>
      <c r="G49" s="95"/>
      <c r="H49" s="95"/>
      <c r="I49" s="96"/>
      <c r="J49" s="96"/>
      <c r="K49" s="97"/>
      <c r="L49" s="95"/>
      <c r="M49" s="95"/>
      <c r="N49" s="98"/>
      <c r="O49" s="99"/>
      <c r="P49" s="100"/>
      <c r="Q49" s="101"/>
      <c r="R49" s="99"/>
      <c r="S49" s="99"/>
      <c r="T49" s="99"/>
      <c r="U49" s="98"/>
      <c r="V49" s="98"/>
      <c r="W49" s="102"/>
      <c r="X49" s="95"/>
      <c r="Y49" s="100"/>
      <c r="Z49" s="100"/>
      <c r="AA49" s="97"/>
      <c r="AB49" s="103"/>
      <c r="AC49" s="97"/>
      <c r="AD49" s="103"/>
      <c r="AE49" s="97"/>
      <c r="AF49" s="99"/>
      <c r="AG49" s="103"/>
      <c r="AH49" s="97"/>
      <c r="AI49" s="98"/>
      <c r="AJ49" s="103"/>
      <c r="AK49" s="97"/>
      <c r="AL49" s="99"/>
      <c r="AM49" s="103"/>
      <c r="AN49" s="97"/>
      <c r="AO49" s="99"/>
      <c r="AP49" s="103"/>
      <c r="AQ49" s="97"/>
      <c r="AR49" s="104"/>
      <c r="AS49" s="95"/>
      <c r="AT49" s="95"/>
      <c r="AU49" s="97"/>
      <c r="AV49" s="105"/>
      <c r="AW49" s="106"/>
    </row>
    <row r="51" spans="2:49" x14ac:dyDescent="0.2">
      <c r="C51" s="120" t="s">
        <v>129</v>
      </c>
      <c r="D51" s="120" t="s">
        <v>129</v>
      </c>
      <c r="E51" s="120" t="s">
        <v>128</v>
      </c>
      <c r="F51" s="120" t="s">
        <v>129</v>
      </c>
      <c r="G51" s="120" t="s">
        <v>129</v>
      </c>
      <c r="H51" s="120" t="s">
        <v>129</v>
      </c>
      <c r="I51" s="120" t="s">
        <v>129</v>
      </c>
      <c r="J51" s="120" t="s">
        <v>129</v>
      </c>
      <c r="L51" s="120" t="s">
        <v>126</v>
      </c>
      <c r="M51" s="120" t="s">
        <v>127</v>
      </c>
      <c r="N51" s="120" t="s">
        <v>127</v>
      </c>
      <c r="R51" s="120" t="s">
        <v>126</v>
      </c>
      <c r="S51" s="120" t="s">
        <v>126</v>
      </c>
      <c r="T51" s="120" t="s">
        <v>126</v>
      </c>
      <c r="U51" s="127" t="s">
        <v>125</v>
      </c>
      <c r="V51" s="127" t="s">
        <v>126</v>
      </c>
      <c r="Y51" s="121" t="s">
        <v>167</v>
      </c>
    </row>
    <row r="53" spans="2:49" x14ac:dyDescent="0.2">
      <c r="Y53" s="121" t="s">
        <v>173</v>
      </c>
    </row>
    <row r="55" spans="2:49" x14ac:dyDescent="0.2">
      <c r="Y55" s="121" t="s">
        <v>174</v>
      </c>
      <c r="AV55" s="2">
        <f>0.1091*0.9167</f>
        <v>0.10001196999999999</v>
      </c>
    </row>
  </sheetData>
  <sortState ref="B8:AS24">
    <sortCondition ref="C8:C24"/>
    <sortCondition ref="D8:D24"/>
    <sortCondition ref="G8:G24"/>
  </sortState>
  <conditionalFormatting sqref="AP9 AM9:AM27 AB9:AB27 AG9:AG27 AJ9:AJ27 AD9:AD27">
    <cfRule type="cellIs" dxfId="17" priority="81" stopIfTrue="1" operator="between">
      <formula>-0.03</formula>
      <formula>-0.08</formula>
    </cfRule>
    <cfRule type="cellIs" dxfId="16" priority="82" stopIfTrue="1" operator="between">
      <formula>0.03</formula>
      <formula>0.08</formula>
    </cfRule>
    <cfRule type="cellIs" dxfId="15" priority="83" stopIfTrue="1" operator="lessThan">
      <formula>-0.8</formula>
    </cfRule>
    <cfRule type="cellIs" dxfId="14" priority="84" stopIfTrue="1" operator="greaterThan">
      <formula>0.8</formula>
    </cfRule>
  </conditionalFormatting>
  <conditionalFormatting sqref="AP9:AP27 AM9:AM27 AB9:AB27 AG9:AG27 AJ9:AJ27 AD9:AD27">
    <cfRule type="cellIs" dxfId="13" priority="75" stopIfTrue="1" operator="between">
      <formula>-0.03</formula>
      <formula>-0.08</formula>
    </cfRule>
    <cfRule type="cellIs" dxfId="12" priority="77" stopIfTrue="1" operator="between">
      <formula>0.03</formula>
      <formula>0.08</formula>
    </cfRule>
    <cfRule type="cellIs" dxfId="11" priority="78" stopIfTrue="1" operator="greaterThan">
      <formula>0.08</formula>
    </cfRule>
    <cfRule type="cellIs" dxfId="10" priority="79" stopIfTrue="1" operator="lessThan">
      <formula>-0.08</formula>
    </cfRule>
  </conditionalFormatting>
  <conditionalFormatting sqref="AP9:AP27 AM9:AM27 AB9:AB27 AG9:AG27 AJ9:AJ27 AD9:AD27">
    <cfRule type="cellIs" dxfId="9" priority="73" stopIfTrue="1" operator="greaterThan">
      <formula>2</formula>
    </cfRule>
  </conditionalFormatting>
  <conditionalFormatting sqref="AP28:AP48 AM28:AM48 AB28:AB48 AG28:AG48 AJ28:AJ48 AD28:AD48">
    <cfRule type="cellIs" dxfId="8" priority="1" stopIfTrue="1" operator="greaterThan">
      <formula>2</formula>
    </cfRule>
  </conditionalFormatting>
  <conditionalFormatting sqref="AM28:AM48 AB28:AB48 AG28:AG48 AJ28:AJ48 AD28:AD48">
    <cfRule type="cellIs" dxfId="7" priority="6" stopIfTrue="1" operator="between">
      <formula>-0.03</formula>
      <formula>-0.08</formula>
    </cfRule>
    <cfRule type="cellIs" dxfId="6" priority="7" stopIfTrue="1" operator="between">
      <formula>0.03</formula>
      <formula>0.08</formula>
    </cfRule>
    <cfRule type="cellIs" dxfId="5" priority="8" stopIfTrue="1" operator="lessThan">
      <formula>-0.8</formula>
    </cfRule>
    <cfRule type="cellIs" dxfId="4" priority="9" stopIfTrue="1" operator="greaterThan">
      <formula>0.8</formula>
    </cfRule>
  </conditionalFormatting>
  <conditionalFormatting sqref="AP28:AP48 AM28:AM48 AB28:AB48 AG28:AG48 AJ28:AJ48 AD28:AD48">
    <cfRule type="cellIs" dxfId="3" priority="2" stopIfTrue="1" operator="between">
      <formula>-0.03</formula>
      <formula>-0.08</formula>
    </cfRule>
    <cfRule type="cellIs" dxfId="2" priority="3" stopIfTrue="1" operator="between">
      <formula>0.03</formula>
      <formula>0.08</formula>
    </cfRule>
    <cfRule type="cellIs" dxfId="1" priority="4" stopIfTrue="1" operator="greaterThan">
      <formula>0.08</formula>
    </cfRule>
    <cfRule type="cellIs" dxfId="0" priority="5" stopIfTrue="1" operator="lessThan">
      <formula>-0.08</formula>
    </cfRule>
  </conditionalFormatting>
  <dataValidations count="1">
    <dataValidation type="list" allowBlank="1" showInputMessage="1" showErrorMessage="1" sqref="E9:E29" xr:uid="{00000000-0002-0000-0000-000000000000}">
      <formula1>Compositions</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81"/>
  <sheetViews>
    <sheetView showRuler="0" workbookViewId="0">
      <selection activeCell="E25" sqref="E25"/>
    </sheetView>
  </sheetViews>
  <sheetFormatPr baseColWidth="10" defaultRowHeight="16" x14ac:dyDescent="0.2"/>
  <cols>
    <col min="3" max="3" width="10.83203125" style="130"/>
    <col min="5" max="5" width="12.33203125" customWidth="1"/>
    <col min="6" max="6" width="47" customWidth="1"/>
    <col min="7" max="7" width="10.83203125" customWidth="1"/>
    <col min="10" max="10" width="26.5" customWidth="1"/>
    <col min="11" max="11" width="131.1640625" customWidth="1"/>
  </cols>
  <sheetData>
    <row r="1" spans="2:12" x14ac:dyDescent="0.2">
      <c r="G1" s="2"/>
    </row>
    <row r="2" spans="2:12" x14ac:dyDescent="0.2">
      <c r="F2" s="1" t="s">
        <v>38</v>
      </c>
    </row>
    <row r="4" spans="2:12" x14ac:dyDescent="0.2">
      <c r="B4" s="1" t="s">
        <v>24</v>
      </c>
      <c r="C4" s="131" t="s">
        <v>55</v>
      </c>
      <c r="D4" s="1" t="s">
        <v>98</v>
      </c>
      <c r="E4" s="1" t="s">
        <v>97</v>
      </c>
      <c r="F4" s="1" t="s">
        <v>142</v>
      </c>
      <c r="G4" s="1" t="s">
        <v>26</v>
      </c>
      <c r="H4" s="12" t="s">
        <v>27</v>
      </c>
      <c r="I4" s="1" t="s">
        <v>91</v>
      </c>
      <c r="J4" s="1" t="s">
        <v>115</v>
      </c>
      <c r="K4" s="1" t="s">
        <v>130</v>
      </c>
    </row>
    <row r="5" spans="2:12" ht="3" customHeight="1" x14ac:dyDescent="0.2">
      <c r="B5" s="1"/>
      <c r="C5" s="131"/>
      <c r="D5" s="1"/>
      <c r="E5" s="1"/>
      <c r="F5" s="1"/>
      <c r="G5" s="1"/>
      <c r="H5" s="12"/>
    </row>
    <row r="6" spans="2:12" ht="16" customHeight="1" x14ac:dyDescent="0.2">
      <c r="B6" s="29" t="s">
        <v>111</v>
      </c>
      <c r="C6" s="130">
        <v>1</v>
      </c>
      <c r="D6" s="29" t="s">
        <v>111</v>
      </c>
      <c r="E6" s="15"/>
      <c r="F6" s="11">
        <f>(2.55+2.8)/2</f>
        <v>2.6749999999999998</v>
      </c>
      <c r="G6" s="1"/>
      <c r="H6" s="12"/>
      <c r="I6" t="s">
        <v>79</v>
      </c>
      <c r="K6" t="s">
        <v>175</v>
      </c>
    </row>
    <row r="7" spans="2:12" ht="16" customHeight="1" x14ac:dyDescent="0.2">
      <c r="B7" s="29" t="s">
        <v>77</v>
      </c>
      <c r="C7" s="130">
        <v>1</v>
      </c>
      <c r="D7" s="29" t="s">
        <v>77</v>
      </c>
      <c r="E7" s="15"/>
      <c r="F7" s="11">
        <v>4.5060000000000002</v>
      </c>
      <c r="G7" s="1"/>
      <c r="H7" s="12"/>
      <c r="I7" t="s">
        <v>79</v>
      </c>
      <c r="K7" t="s">
        <v>176</v>
      </c>
    </row>
    <row r="8" spans="2:12" ht="16" customHeight="1" x14ac:dyDescent="0.2">
      <c r="B8" s="29" t="s">
        <v>83</v>
      </c>
      <c r="C8" s="130">
        <v>1</v>
      </c>
      <c r="D8" s="29" t="s">
        <v>83</v>
      </c>
      <c r="E8" s="15"/>
      <c r="F8" s="11">
        <v>7.1349999999999998</v>
      </c>
      <c r="G8" s="1"/>
      <c r="H8" s="12"/>
      <c r="I8" t="s">
        <v>84</v>
      </c>
      <c r="K8" t="s">
        <v>131</v>
      </c>
    </row>
    <row r="9" spans="2:12" x14ac:dyDescent="0.2">
      <c r="B9" t="s">
        <v>45</v>
      </c>
      <c r="C9" s="130">
        <v>1</v>
      </c>
      <c r="D9" t="s">
        <v>45</v>
      </c>
      <c r="E9" s="15"/>
      <c r="F9" s="11">
        <v>7.28</v>
      </c>
      <c r="G9" s="2"/>
      <c r="H9" s="9"/>
      <c r="I9" t="s">
        <v>85</v>
      </c>
      <c r="K9" t="s">
        <v>151</v>
      </c>
    </row>
    <row r="10" spans="2:12" x14ac:dyDescent="0.2">
      <c r="B10" t="s">
        <v>46</v>
      </c>
      <c r="C10" s="130">
        <v>1</v>
      </c>
      <c r="D10" t="s">
        <v>46</v>
      </c>
      <c r="E10" s="15"/>
      <c r="F10" s="11">
        <f>(7.44+7.21)/2</f>
        <v>7.3250000000000002</v>
      </c>
      <c r="G10" s="2"/>
      <c r="H10" s="9"/>
      <c r="I10" t="s">
        <v>78</v>
      </c>
    </row>
    <row r="11" spans="2:12" x14ac:dyDescent="0.2">
      <c r="B11" t="s">
        <v>80</v>
      </c>
      <c r="C11" s="130">
        <v>1</v>
      </c>
      <c r="D11" t="s">
        <v>80</v>
      </c>
      <c r="E11" s="15"/>
      <c r="F11" s="11">
        <v>7.85</v>
      </c>
      <c r="G11" s="2"/>
      <c r="H11" s="9"/>
      <c r="I11" t="s">
        <v>81</v>
      </c>
      <c r="K11" t="s">
        <v>132</v>
      </c>
    </row>
    <row r="12" spans="2:12" x14ac:dyDescent="0.2">
      <c r="B12" t="s">
        <v>113</v>
      </c>
      <c r="C12" s="130">
        <v>1</v>
      </c>
      <c r="D12" t="s">
        <v>80</v>
      </c>
      <c r="E12" s="15"/>
      <c r="F12" s="11">
        <v>7.85</v>
      </c>
      <c r="G12" s="2"/>
      <c r="H12" s="9"/>
      <c r="J12" t="s">
        <v>114</v>
      </c>
    </row>
    <row r="13" spans="2:12" ht="14" customHeight="1" x14ac:dyDescent="0.2">
      <c r="B13" t="s">
        <v>110</v>
      </c>
      <c r="C13" s="130">
        <v>0.88</v>
      </c>
      <c r="D13" s="15" t="s">
        <v>18</v>
      </c>
      <c r="E13" s="15" t="s">
        <v>111</v>
      </c>
      <c r="F13" s="11">
        <f>VLOOKUP(D13,Metals,5,FALSE)*C13+VLOOKUP(E13,Metals,5,FALSE)*(1-C13)</f>
        <v>8.1793999999999993</v>
      </c>
      <c r="G13" s="2"/>
      <c r="H13" s="9"/>
      <c r="J13" t="s">
        <v>112</v>
      </c>
      <c r="K13" t="s">
        <v>136</v>
      </c>
    </row>
    <row r="14" spans="2:12" ht="14" customHeight="1" x14ac:dyDescent="0.2">
      <c r="B14" t="s">
        <v>102</v>
      </c>
      <c r="C14" s="130">
        <v>0.84</v>
      </c>
      <c r="D14" s="15" t="s">
        <v>18</v>
      </c>
      <c r="E14" s="15" t="s">
        <v>83</v>
      </c>
      <c r="F14" s="11">
        <f>VLOOKUP(D14,Metals,5,FALSE)*C14+VLOOKUP(E14,Metals,5,FALSE)*(1-C14)</f>
        <v>8.6427999999999994</v>
      </c>
      <c r="G14" s="2"/>
      <c r="H14" s="9"/>
      <c r="J14" t="s">
        <v>112</v>
      </c>
      <c r="L14" s="15"/>
    </row>
    <row r="15" spans="2:12" x14ac:dyDescent="0.2">
      <c r="B15" t="s">
        <v>58</v>
      </c>
      <c r="C15" s="130">
        <v>0.85</v>
      </c>
      <c r="D15" t="s">
        <v>18</v>
      </c>
      <c r="E15" s="15" t="s">
        <v>46</v>
      </c>
      <c r="F15" s="11">
        <f>VLOOKUP(D15,Metals,5,FALSE)*C15+VLOOKUP(E15,Metals,5,FALSE)*(1-C15)</f>
        <v>8.6892499999999995</v>
      </c>
      <c r="G15" s="2"/>
      <c r="H15" s="9"/>
      <c r="K15" t="s">
        <v>140</v>
      </c>
    </row>
    <row r="16" spans="2:12" x14ac:dyDescent="0.2">
      <c r="B16" s="30" t="s">
        <v>56</v>
      </c>
      <c r="C16" s="130">
        <v>1</v>
      </c>
      <c r="D16" t="s">
        <v>56</v>
      </c>
      <c r="E16" s="15"/>
      <c r="F16" s="11">
        <v>8.8000000000000007</v>
      </c>
      <c r="G16" s="8"/>
      <c r="H16" s="8"/>
      <c r="I16" t="s">
        <v>86</v>
      </c>
    </row>
    <row r="17" spans="2:11" x14ac:dyDescent="0.2">
      <c r="B17" t="s">
        <v>57</v>
      </c>
      <c r="C17" s="130">
        <f>75/100</f>
        <v>0.75</v>
      </c>
      <c r="D17" t="s">
        <v>18</v>
      </c>
      <c r="E17" s="15" t="s">
        <v>56</v>
      </c>
      <c r="F17" s="11">
        <f>VLOOKUP(D17,Metals,5,FALSE)*C17+VLOOKUP(E17,Metals,5,FALSE)*(1-C17)</f>
        <v>8.8975000000000009</v>
      </c>
      <c r="G17" s="2"/>
      <c r="H17" s="9"/>
      <c r="K17" t="s">
        <v>134</v>
      </c>
    </row>
    <row r="18" spans="2:11" x14ac:dyDescent="0.2">
      <c r="B18" t="s">
        <v>18</v>
      </c>
      <c r="C18" s="130">
        <v>1</v>
      </c>
      <c r="D18" t="s">
        <v>18</v>
      </c>
      <c r="E18" s="15"/>
      <c r="F18" s="11">
        <v>8.93</v>
      </c>
      <c r="G18" s="8">
        <v>2.61</v>
      </c>
      <c r="H18" s="8">
        <f>IF(G18="","",G18/16)</f>
        <v>0.16312499999999999</v>
      </c>
      <c r="I18" t="s">
        <v>82</v>
      </c>
    </row>
    <row r="19" spans="2:11" x14ac:dyDescent="0.2">
      <c r="B19" t="s">
        <v>93</v>
      </c>
      <c r="C19" s="130">
        <f>9/10</f>
        <v>0.9</v>
      </c>
      <c r="D19" t="s">
        <v>21</v>
      </c>
      <c r="E19" s="15" t="s">
        <v>18</v>
      </c>
      <c r="F19" s="11">
        <f>VLOOKUP(D19,Metals,5,FALSE)*C19+VLOOKUP(E19,Metals,5,FALSE)*(1-C19)</f>
        <v>10.334</v>
      </c>
      <c r="G19" s="2"/>
      <c r="H19" s="9"/>
      <c r="K19" t="s">
        <v>150</v>
      </c>
    </row>
    <row r="20" spans="2:11" x14ac:dyDescent="0.2">
      <c r="B20" t="s">
        <v>96</v>
      </c>
      <c r="C20" s="130">
        <f>22/24</f>
        <v>0.91666666666666663</v>
      </c>
      <c r="D20" t="s">
        <v>21</v>
      </c>
      <c r="E20" s="15" t="s">
        <v>18</v>
      </c>
      <c r="F20" s="11">
        <f>VLOOKUP(D20,Metals,5,FALSE)*C20+VLOOKUP(E20,Metals,5,FALSE)*(1-C20)</f>
        <v>10.36</v>
      </c>
      <c r="G20" s="2"/>
      <c r="H20" s="9"/>
      <c r="K20" t="s">
        <v>152</v>
      </c>
    </row>
    <row r="21" spans="2:11" x14ac:dyDescent="0.2">
      <c r="B21" t="s">
        <v>94</v>
      </c>
      <c r="C21" s="130">
        <v>0.92500000000000004</v>
      </c>
      <c r="D21" t="s">
        <v>21</v>
      </c>
      <c r="E21" s="15" t="s">
        <v>18</v>
      </c>
      <c r="F21" s="11">
        <f>VLOOKUP(D21,Metals,5,FALSE)*C21+VLOOKUP(E21,Metals,5,FALSE)*(1-C21)</f>
        <v>10.373000000000001</v>
      </c>
      <c r="G21" s="2"/>
      <c r="H21" s="9"/>
    </row>
    <row r="22" spans="2:11" x14ac:dyDescent="0.2">
      <c r="B22" t="s">
        <v>21</v>
      </c>
      <c r="C22" s="130">
        <v>1</v>
      </c>
      <c r="D22" t="s">
        <v>21</v>
      </c>
      <c r="E22" s="15"/>
      <c r="F22" s="11">
        <v>10.49</v>
      </c>
      <c r="G22" s="2"/>
      <c r="H22" s="9">
        <v>17.12</v>
      </c>
      <c r="I22" t="s">
        <v>88</v>
      </c>
      <c r="K22" t="s">
        <v>177</v>
      </c>
    </row>
    <row r="23" spans="2:11" x14ac:dyDescent="0.2">
      <c r="B23" t="s">
        <v>65</v>
      </c>
      <c r="C23" s="130">
        <v>1</v>
      </c>
      <c r="D23" t="s">
        <v>65</v>
      </c>
      <c r="E23" s="15"/>
      <c r="F23" s="11">
        <v>11.34</v>
      </c>
      <c r="G23" s="2"/>
      <c r="H23" s="9"/>
      <c r="I23" t="s">
        <v>89</v>
      </c>
    </row>
    <row r="24" spans="2:11" x14ac:dyDescent="0.2">
      <c r="B24" t="s">
        <v>95</v>
      </c>
      <c r="C24" s="130">
        <f>22/24</f>
        <v>0.91666666666666663</v>
      </c>
      <c r="D24" t="s">
        <v>23</v>
      </c>
      <c r="E24" s="15" t="s">
        <v>18</v>
      </c>
      <c r="F24" s="11">
        <f>VLOOKUP(D24,Metals,5,FALSE)*C24+VLOOKUP(E24,Metals,5,FALSE)*(1-C24)</f>
        <v>18.454166666666669</v>
      </c>
      <c r="G24" s="2"/>
      <c r="H24" s="9"/>
      <c r="K24" t="s">
        <v>153</v>
      </c>
    </row>
    <row r="25" spans="2:11" ht="14" customHeight="1" x14ac:dyDescent="0.2">
      <c r="B25" t="s">
        <v>192</v>
      </c>
      <c r="C25" s="130">
        <v>0.91669999999999996</v>
      </c>
      <c r="D25" s="15" t="s">
        <v>23</v>
      </c>
      <c r="E25" s="15" t="s">
        <v>194</v>
      </c>
      <c r="F25" s="11">
        <f>VLOOKUP(D25,Metals,5,FALSE)*0.9167+VLOOKUP("silver",Metals,5,FALSE)*0.03+VLOOKUP("copper",Metals,5,FALSE)*0.0533</f>
        <v>18.501312999999996</v>
      </c>
      <c r="G25" s="2"/>
      <c r="H25" s="9"/>
      <c r="J25" t="s">
        <v>193</v>
      </c>
      <c r="K25" t="s">
        <v>178</v>
      </c>
    </row>
    <row r="26" spans="2:11" x14ac:dyDescent="0.2">
      <c r="B26" t="s">
        <v>23</v>
      </c>
      <c r="C26" s="130">
        <v>1</v>
      </c>
      <c r="D26" t="s">
        <v>23</v>
      </c>
      <c r="E26" s="15"/>
      <c r="F26" s="11">
        <v>19.32</v>
      </c>
      <c r="G26" s="2"/>
      <c r="H26" s="9">
        <v>80</v>
      </c>
      <c r="I26" t="s">
        <v>87</v>
      </c>
    </row>
    <row r="27" spans="2:11" x14ac:dyDescent="0.2">
      <c r="B27" t="s">
        <v>66</v>
      </c>
      <c r="C27" s="130">
        <v>1</v>
      </c>
      <c r="D27" t="s">
        <v>66</v>
      </c>
      <c r="E27" s="15"/>
      <c r="F27" s="11">
        <v>19.600000000000001</v>
      </c>
      <c r="G27" s="2"/>
      <c r="H27" s="9"/>
      <c r="I27" t="s">
        <v>90</v>
      </c>
      <c r="K27" t="s">
        <v>135</v>
      </c>
    </row>
    <row r="28" spans="2:11" x14ac:dyDescent="0.2">
      <c r="B28" t="s">
        <v>76</v>
      </c>
      <c r="C28" s="130">
        <v>1</v>
      </c>
      <c r="D28" t="s">
        <v>76</v>
      </c>
      <c r="E28" s="15"/>
      <c r="F28" s="11">
        <v>21.4</v>
      </c>
      <c r="G28" s="2"/>
      <c r="H28" s="9"/>
      <c r="I28" t="s">
        <v>92</v>
      </c>
    </row>
    <row r="29" spans="2:11" x14ac:dyDescent="0.2">
      <c r="D29" s="15"/>
      <c r="E29" s="15"/>
      <c r="F29" s="11"/>
      <c r="G29" s="2"/>
      <c r="H29" s="9"/>
      <c r="K29" t="s">
        <v>133</v>
      </c>
    </row>
    <row r="30" spans="2:11" x14ac:dyDescent="0.2">
      <c r="D30" s="15"/>
      <c r="E30" s="15"/>
      <c r="F30" s="11"/>
      <c r="G30" s="2"/>
      <c r="H30" s="9"/>
    </row>
    <row r="31" spans="2:11" x14ac:dyDescent="0.2">
      <c r="D31" s="15"/>
      <c r="E31" s="15"/>
      <c r="F31" s="11"/>
      <c r="G31" s="2"/>
      <c r="H31" s="9"/>
      <c r="K31" t="s">
        <v>137</v>
      </c>
    </row>
    <row r="32" spans="2:11" x14ac:dyDescent="0.2">
      <c r="D32" s="15"/>
      <c r="E32" s="15"/>
      <c r="F32" s="11"/>
      <c r="G32" s="2"/>
      <c r="H32" s="9"/>
      <c r="K32" t="s">
        <v>154</v>
      </c>
    </row>
    <row r="33" spans="2:11" x14ac:dyDescent="0.2">
      <c r="D33" s="15"/>
      <c r="E33" s="15"/>
      <c r="F33" s="11"/>
      <c r="G33" s="2"/>
      <c r="H33" s="9"/>
      <c r="K33" t="s">
        <v>155</v>
      </c>
    </row>
    <row r="34" spans="2:11" x14ac:dyDescent="0.2">
      <c r="D34" s="15"/>
      <c r="E34" s="15"/>
      <c r="F34" s="11"/>
      <c r="G34" s="2"/>
      <c r="H34" s="9"/>
    </row>
    <row r="35" spans="2:11" x14ac:dyDescent="0.2">
      <c r="B35" s="2"/>
      <c r="F35" s="15"/>
      <c r="K35" t="s">
        <v>138</v>
      </c>
    </row>
    <row r="36" spans="2:11" x14ac:dyDescent="0.2">
      <c r="B36" s="2"/>
    </row>
    <row r="37" spans="2:11" x14ac:dyDescent="0.2">
      <c r="B37" s="2">
        <v>31.103476799999999</v>
      </c>
      <c r="C37" s="132" t="s">
        <v>16</v>
      </c>
      <c r="D37" s="2"/>
      <c r="E37" s="2"/>
      <c r="G37" s="2"/>
      <c r="K37" t="s">
        <v>139</v>
      </c>
    </row>
    <row r="38" spans="2:11" x14ac:dyDescent="0.2">
      <c r="B38" s="2">
        <f>GramsPerOz*16</f>
        <v>453.59236800000002</v>
      </c>
      <c r="C38" s="132" t="s">
        <v>20</v>
      </c>
      <c r="D38" s="2"/>
      <c r="E38" s="2"/>
      <c r="G38" s="2"/>
    </row>
    <row r="39" spans="2:11" x14ac:dyDescent="0.2">
      <c r="B39" s="2">
        <v>28.349523000000001</v>
      </c>
      <c r="C39" s="132" t="s">
        <v>25</v>
      </c>
      <c r="D39" s="2"/>
      <c r="E39" s="2"/>
      <c r="G39" s="2"/>
      <c r="K39" t="s">
        <v>141</v>
      </c>
    </row>
    <row r="41" spans="2:11" x14ac:dyDescent="0.2">
      <c r="K41" t="s">
        <v>143</v>
      </c>
    </row>
    <row r="43" spans="2:11" x14ac:dyDescent="0.2">
      <c r="K43" t="s">
        <v>144</v>
      </c>
    </row>
    <row r="45" spans="2:11" x14ac:dyDescent="0.2">
      <c r="K45" t="s">
        <v>145</v>
      </c>
    </row>
    <row r="46" spans="2:11" x14ac:dyDescent="0.2">
      <c r="K46" t="s">
        <v>146</v>
      </c>
    </row>
    <row r="47" spans="2:11" x14ac:dyDescent="0.2">
      <c r="K47" t="s">
        <v>147</v>
      </c>
    </row>
    <row r="48" spans="2:11" x14ac:dyDescent="0.2">
      <c r="K48" t="s">
        <v>148</v>
      </c>
    </row>
    <row r="49" spans="11:11" customFormat="1" x14ac:dyDescent="0.2">
      <c r="K49" t="s">
        <v>149</v>
      </c>
    </row>
    <row r="50" spans="11:11" customFormat="1" x14ac:dyDescent="0.2">
      <c r="K50" t="s">
        <v>179</v>
      </c>
    </row>
    <row r="52" spans="11:11" customFormat="1" x14ac:dyDescent="0.2">
      <c r="K52" t="s">
        <v>180</v>
      </c>
    </row>
    <row r="53" spans="11:11" customFormat="1" x14ac:dyDescent="0.2">
      <c r="K53" t="s">
        <v>181</v>
      </c>
    </row>
    <row r="54" spans="11:11" customFormat="1" x14ac:dyDescent="0.2">
      <c r="K54" t="s">
        <v>182</v>
      </c>
    </row>
    <row r="56" spans="11:11" customFormat="1" x14ac:dyDescent="0.2">
      <c r="K56" t="s">
        <v>183</v>
      </c>
    </row>
    <row r="57" spans="11:11" customFormat="1" x14ac:dyDescent="0.2">
      <c r="K57" t="s">
        <v>184</v>
      </c>
    </row>
    <row r="59" spans="11:11" customFormat="1" x14ac:dyDescent="0.2">
      <c r="K59" t="s">
        <v>185</v>
      </c>
    </row>
    <row r="60" spans="11:11" customFormat="1" x14ac:dyDescent="0.2">
      <c r="K60" t="s">
        <v>187</v>
      </c>
    </row>
    <row r="61" spans="11:11" customFormat="1" x14ac:dyDescent="0.2">
      <c r="K61" t="s">
        <v>186</v>
      </c>
    </row>
    <row r="63" spans="11:11" customFormat="1" x14ac:dyDescent="0.2">
      <c r="K63" t="s">
        <v>189</v>
      </c>
    </row>
    <row r="64" spans="11:11" customFormat="1" x14ac:dyDescent="0.2">
      <c r="K64" t="s">
        <v>188</v>
      </c>
    </row>
    <row r="66" spans="11:11" customFormat="1" x14ac:dyDescent="0.2">
      <c r="K66" t="s">
        <v>165</v>
      </c>
    </row>
    <row r="67" spans="11:11" customFormat="1" x14ac:dyDescent="0.2">
      <c r="K67" t="s">
        <v>156</v>
      </c>
    </row>
    <row r="68" spans="11:11" customFormat="1" x14ac:dyDescent="0.2">
      <c r="K68" t="s">
        <v>157</v>
      </c>
    </row>
    <row r="69" spans="11:11" customFormat="1" x14ac:dyDescent="0.2">
      <c r="K69" t="s">
        <v>158</v>
      </c>
    </row>
    <row r="70" spans="11:11" customFormat="1" x14ac:dyDescent="0.2">
      <c r="K70" t="s">
        <v>166</v>
      </c>
    </row>
    <row r="71" spans="11:11" customFormat="1" x14ac:dyDescent="0.2">
      <c r="K71" t="s">
        <v>159</v>
      </c>
    </row>
    <row r="72" spans="11:11" customFormat="1" x14ac:dyDescent="0.2">
      <c r="K72" t="s">
        <v>160</v>
      </c>
    </row>
    <row r="73" spans="11:11" customFormat="1" x14ac:dyDescent="0.2">
      <c r="K73" t="s">
        <v>161</v>
      </c>
    </row>
    <row r="75" spans="11:11" customFormat="1" x14ac:dyDescent="0.2">
      <c r="K75" t="s">
        <v>162</v>
      </c>
    </row>
    <row r="76" spans="11:11" customFormat="1" x14ac:dyDescent="0.2">
      <c r="K76" t="s">
        <v>190</v>
      </c>
    </row>
    <row r="78" spans="11:11" customFormat="1" x14ac:dyDescent="0.2">
      <c r="K78" t="s">
        <v>163</v>
      </c>
    </row>
    <row r="79" spans="11:11" customFormat="1" x14ac:dyDescent="0.2">
      <c r="K79" t="s">
        <v>164</v>
      </c>
    </row>
    <row r="81" spans="11:11" customFormat="1" x14ac:dyDescent="0.2">
      <c r="K81"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Coins</vt:lpstr>
      <vt:lpstr>constants</vt:lpstr>
      <vt:lpstr>BrassWeight</vt:lpstr>
      <vt:lpstr>Compositions</vt:lpstr>
      <vt:lpstr>CopperWeight</vt:lpstr>
      <vt:lpstr>GoldWeight</vt:lpstr>
      <vt:lpstr>GramsPerOz</vt:lpstr>
      <vt:lpstr>GramsPerPound</vt:lpstr>
      <vt:lpstr>GramsPerTroyOz</vt:lpstr>
      <vt:lpstr>IronWeight</vt:lpstr>
      <vt:lpstr>LeadWeight</vt:lpstr>
      <vt:lpstr>ManganeseWeight</vt:lpstr>
      <vt:lpstr>Metals</vt:lpstr>
      <vt:lpstr>NickelWeight</vt:lpstr>
      <vt:lpstr>PlatinumWeight</vt:lpstr>
      <vt:lpstr>SilverWeight</vt:lpstr>
      <vt:lpstr>TinWeight</vt:lpstr>
      <vt:lpstr>TungstenWeight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2017-01-20T02:14:36Z</dcterms:created>
  <dcterms:modified xsi:type="dcterms:W3CDTF">2019-01-02T19:59:18Z</dcterms:modified>
</cp:coreProperties>
</file>