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1"/>
  <workbookPr/>
  <mc:AlternateContent xmlns:mc="http://schemas.openxmlformats.org/markup-compatibility/2006">
    <mc:Choice Requires="x15">
      <x15ac:absPath xmlns:x15ac="http://schemas.microsoft.com/office/spreadsheetml/2010/11/ac" url="/Users/virtual1/Documents/ My Documents/Hobbies/Red Alert/"/>
    </mc:Choice>
  </mc:AlternateContent>
  <xr:revisionPtr revIDLastSave="0" documentId="13_ncr:1_{5C5A0917-2E9D-BA46-9796-7F4F8F63CFF6}" xr6:coauthVersionLast="47" xr6:coauthVersionMax="47" xr10:uidLastSave="{00000000-0000-0000-0000-000000000000}"/>
  <bookViews>
    <workbookView xWindow="9620" yWindow="460" windowWidth="33700" windowHeight="26780" activeTab="7" xr2:uid="{00000000-000D-0000-FFFF-FFFF00000000}"/>
  </bookViews>
  <sheets>
    <sheet name="Flats" sheetId="4" r:id="rId1"/>
    <sheet name="Discs" sheetId="1" r:id="rId2"/>
    <sheet name="Ships (by rarity)" sheetId="8" r:id="rId3"/>
    <sheet name="Ships (by faction)" sheetId="9" r:id="rId4"/>
    <sheet name="Personal Tech" sheetId="10" r:id="rId5"/>
    <sheet name="Scenarios" sheetId="11" r:id="rId6"/>
    <sheet name="My Collection" sheetId="15" r:id="rId7"/>
    <sheet name="Distributions" sheetId="12" r:id="rId8"/>
    <sheet name="Eratta" sheetId="13" r:id="rId9"/>
    <sheet name="Notes" sheetId="14" r:id="rId10"/>
  </sheets>
  <definedNames>
    <definedName name="_xlnm._FilterDatabase" localSheetId="1" hidden="1">Discs!$A$1:$Y$241</definedName>
    <definedName name="_xlnm._FilterDatabase" localSheetId="0" hidden="1">Flats!$B$1:$N$109</definedName>
    <definedName name="_xlnm._FilterDatabase" localSheetId="4" hidden="1">'Personal Tech'!#REF!</definedName>
    <definedName name="_xlnm._FilterDatabase" localSheetId="5" hidden="1">Scenarios!#REF!</definedName>
    <definedName name="_xlnm._FilterDatabase" localSheetId="3" hidden="1">'Ships (by faction)'!$H$1:$H$1</definedName>
    <definedName name="_xlnm._FilterDatabase" localSheetId="2" hidden="1">'Ships (by rarity)'!$B$1:$R$45</definedName>
    <definedName name="DISCNAME">Discs!$D$2:$Y$241</definedName>
    <definedName name="DISCNUM">Discs!$B$2:$J$241</definedName>
    <definedName name="FLATNUM">Flats!$D$2:$AD$101</definedName>
    <definedName name="_xlnm.Print_Titles" localSheetId="0">Flats!$1:$1</definedName>
  </definedNames>
  <calcPr calcId="191029"/>
  <extLst>
    <ext xmlns:x14="http://schemas.microsoft.com/office/spreadsheetml/2009/9/main" uri="{79F54976-1DA5-4618-B147-4CDE4B953A38}">
      <x14:workbookPr defaultImageDpi="32767"/>
    </ext>
    <ext xmlns:mx="http://schemas.microsoft.com/office/mac/excel/2008/main" uri="{7523E5D3-25F3-A5E0-1632-64F254C22452}">
      <mx:ArchID Flags="4"/>
    </ext>
  </extLst>
</workbook>
</file>

<file path=xl/calcChain.xml><?xml version="1.0" encoding="utf-8"?>
<calcChain xmlns="http://schemas.openxmlformats.org/spreadsheetml/2006/main">
  <c r="M46" i="15" l="1"/>
  <c r="E40" i="12"/>
  <c r="E39" i="12"/>
  <c r="E38" i="12"/>
  <c r="D40" i="12"/>
  <c r="D39" i="12"/>
  <c r="D38" i="12"/>
  <c r="C40" i="12"/>
  <c r="C39" i="12"/>
  <c r="C38" i="12"/>
  <c r="E67" i="15"/>
  <c r="J41" i="15"/>
  <c r="I41" i="15"/>
  <c r="H41" i="15"/>
  <c r="G41" i="15"/>
  <c r="J40" i="15"/>
  <c r="I40" i="15"/>
  <c r="H40" i="15"/>
  <c r="G40" i="15"/>
  <c r="J39" i="15"/>
  <c r="I39" i="15"/>
  <c r="H39" i="15"/>
  <c r="J38" i="15"/>
  <c r="I38" i="15"/>
  <c r="H38" i="15"/>
  <c r="J37" i="15"/>
  <c r="I37" i="15"/>
  <c r="H37" i="15"/>
  <c r="J36" i="15"/>
  <c r="I36" i="15"/>
  <c r="H36" i="15"/>
  <c r="G36" i="15"/>
  <c r="L61" i="4"/>
  <c r="K103" i="4" l="1"/>
  <c r="J103"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L9" i="4"/>
  <c r="L8" i="4"/>
  <c r="L7" i="4"/>
  <c r="L6" i="4"/>
  <c r="L5" i="4"/>
  <c r="L4" i="4"/>
  <c r="L3" i="4"/>
  <c r="L2" i="4"/>
  <c r="I7" i="10"/>
  <c r="H7" i="10"/>
  <c r="E111" i="1"/>
  <c r="H111" i="1" s="1"/>
  <c r="G7" i="10" s="1"/>
  <c r="F7" i="10"/>
  <c r="E7" i="10"/>
  <c r="C7" i="10"/>
  <c r="D118" i="12"/>
  <c r="E118" i="12"/>
  <c r="F118" i="12"/>
  <c r="G118" i="12"/>
  <c r="D103" i="12"/>
  <c r="E103" i="12"/>
  <c r="F103" i="12"/>
  <c r="G103" i="12"/>
  <c r="D104" i="12"/>
  <c r="E104" i="12"/>
  <c r="F104" i="12"/>
  <c r="G104" i="12"/>
  <c r="D105" i="12"/>
  <c r="E105" i="12"/>
  <c r="F105" i="12"/>
  <c r="G105" i="12"/>
  <c r="D106" i="12"/>
  <c r="E106" i="12"/>
  <c r="F106" i="12"/>
  <c r="G106" i="12"/>
  <c r="D107" i="12"/>
  <c r="E107" i="12"/>
  <c r="F107" i="12"/>
  <c r="G107" i="12"/>
  <c r="D108" i="12"/>
  <c r="E108" i="12"/>
  <c r="F108" i="12"/>
  <c r="H108" i="12" s="1"/>
  <c r="G108" i="12"/>
  <c r="D109" i="12"/>
  <c r="E109" i="12"/>
  <c r="F109" i="12"/>
  <c r="G109" i="12"/>
  <c r="D110" i="12"/>
  <c r="E110" i="12"/>
  <c r="F110" i="12"/>
  <c r="G110" i="12"/>
  <c r="D111" i="12"/>
  <c r="E111" i="12"/>
  <c r="F111" i="12"/>
  <c r="G111" i="12"/>
  <c r="D112" i="12"/>
  <c r="E112" i="12"/>
  <c r="F112" i="12"/>
  <c r="G112" i="12"/>
  <c r="D113" i="12"/>
  <c r="E113" i="12"/>
  <c r="F113" i="12"/>
  <c r="G113" i="12"/>
  <c r="D114" i="12"/>
  <c r="E114" i="12"/>
  <c r="F114" i="12"/>
  <c r="H114" i="12" s="1"/>
  <c r="G114" i="12"/>
  <c r="D115" i="12"/>
  <c r="E115" i="12"/>
  <c r="F115" i="12"/>
  <c r="G115" i="12"/>
  <c r="D116" i="12"/>
  <c r="E116" i="12"/>
  <c r="F116" i="12"/>
  <c r="G116" i="12"/>
  <c r="D117" i="12"/>
  <c r="E117" i="12"/>
  <c r="F117" i="12"/>
  <c r="G117" i="12"/>
  <c r="G89" i="12"/>
  <c r="G73" i="12"/>
  <c r="G74" i="12"/>
  <c r="G75" i="12"/>
  <c r="G76" i="12"/>
  <c r="G77" i="12"/>
  <c r="G79" i="12"/>
  <c r="G80" i="12"/>
  <c r="G81" i="12"/>
  <c r="G83" i="12"/>
  <c r="G84" i="12"/>
  <c r="G85" i="12"/>
  <c r="G87" i="12"/>
  <c r="G88" i="12"/>
  <c r="D91" i="12"/>
  <c r="E225" i="1"/>
  <c r="F59" i="12" a="1"/>
  <c r="F59" i="12" s="1"/>
  <c r="F60" i="12" a="1"/>
  <c r="F60" i="12" s="1"/>
  <c r="F61" i="12" a="1"/>
  <c r="F61" i="12" s="1"/>
  <c r="F62" i="12" a="1"/>
  <c r="F62" i="12" s="1"/>
  <c r="F63" i="12" a="1"/>
  <c r="F63" i="12" s="1"/>
  <c r="F64" i="12" a="1"/>
  <c r="F64" i="12" s="1"/>
  <c r="G59" i="12" a="1"/>
  <c r="G59" i="12" s="1"/>
  <c r="G60" i="12" a="1"/>
  <c r="G60" i="12" s="1"/>
  <c r="G61" i="12" a="1"/>
  <c r="G61" i="12" s="1"/>
  <c r="G62" i="12" a="1"/>
  <c r="G62" i="12" s="1"/>
  <c r="G63" i="12" a="1"/>
  <c r="G63" i="12" s="1"/>
  <c r="G64" i="12" a="1"/>
  <c r="G64" i="12" s="1"/>
  <c r="E59" i="12" a="1"/>
  <c r="E59" i="12" s="1"/>
  <c r="E60" i="12" a="1"/>
  <c r="E60" i="12" s="1"/>
  <c r="E61" i="12" a="1"/>
  <c r="E62" i="12" a="1"/>
  <c r="E62" i="12" s="1"/>
  <c r="E63" i="12" a="1"/>
  <c r="E63" i="12" s="1"/>
  <c r="E64" i="12" a="1"/>
  <c r="E64" i="12" s="1"/>
  <c r="E61" i="12"/>
  <c r="I64" i="12" a="1"/>
  <c r="I64" i="12" s="1"/>
  <c r="I63" i="12" a="1"/>
  <c r="I63" i="12" s="1"/>
  <c r="I62" i="12" a="1"/>
  <c r="I62" i="12" s="1"/>
  <c r="I61" i="12" a="1"/>
  <c r="I61" i="12" s="1"/>
  <c r="I60" i="12" a="1"/>
  <c r="I60" i="12"/>
  <c r="I59" i="12" a="1"/>
  <c r="I59" i="12" s="1"/>
  <c r="P2" i="4" a="1"/>
  <c r="P2" i="4" s="1"/>
  <c r="Q2" i="4" a="1"/>
  <c r="Q2" i="4" s="1"/>
  <c r="R2" i="4" a="1"/>
  <c r="R2" i="4" s="1"/>
  <c r="S2" i="4" a="1"/>
  <c r="S2" i="4" s="1"/>
  <c r="T2" i="4" a="1"/>
  <c r="T2" i="4" s="1"/>
  <c r="P3" i="4" a="1"/>
  <c r="P3" i="4" s="1"/>
  <c r="Q3" i="4" a="1"/>
  <c r="Q3" i="4" s="1"/>
  <c r="R3" i="4" a="1"/>
  <c r="R3" i="4" s="1"/>
  <c r="S3" i="4" a="1"/>
  <c r="S3" i="4" s="1"/>
  <c r="T3" i="4" a="1"/>
  <c r="T3" i="4" s="1"/>
  <c r="P4" i="4" a="1"/>
  <c r="P4" i="4" s="1"/>
  <c r="Q4" i="4" a="1"/>
  <c r="Q4" i="4" s="1"/>
  <c r="R4" i="4" a="1"/>
  <c r="R4" i="4" s="1"/>
  <c r="S4" i="4" a="1"/>
  <c r="S4" i="4" s="1"/>
  <c r="T4" i="4" a="1"/>
  <c r="T4" i="4" s="1"/>
  <c r="P5" i="4" a="1"/>
  <c r="P5" i="4" s="1"/>
  <c r="Q5" i="4" a="1"/>
  <c r="Q5" i="4" s="1"/>
  <c r="R5" i="4" a="1"/>
  <c r="R5" i="4" s="1"/>
  <c r="S5" i="4" a="1"/>
  <c r="S5" i="4" s="1"/>
  <c r="T5" i="4" a="1"/>
  <c r="T5" i="4" s="1"/>
  <c r="P6" i="4" a="1"/>
  <c r="P6" i="4" s="1"/>
  <c r="Q6" i="4" a="1"/>
  <c r="Q6" i="4" s="1"/>
  <c r="R6" i="4" a="1"/>
  <c r="R6" i="4" s="1"/>
  <c r="S6" i="4" a="1"/>
  <c r="S6" i="4" s="1"/>
  <c r="T6" i="4" a="1"/>
  <c r="T6" i="4" s="1"/>
  <c r="P7" i="4" a="1"/>
  <c r="P7" i="4" s="1"/>
  <c r="Q7" i="4" a="1"/>
  <c r="Q7" i="4" s="1"/>
  <c r="R7" i="4" a="1"/>
  <c r="R7" i="4" s="1"/>
  <c r="S7" i="4" a="1"/>
  <c r="S7" i="4" s="1"/>
  <c r="T7" i="4" a="1"/>
  <c r="T7" i="4" s="1"/>
  <c r="P8" i="4" a="1"/>
  <c r="P8" i="4" s="1"/>
  <c r="Q8" i="4" a="1"/>
  <c r="Q8" i="4" s="1"/>
  <c r="R8" i="4" a="1"/>
  <c r="R8" i="4" s="1"/>
  <c r="S8" i="4" a="1"/>
  <c r="S8" i="4" s="1"/>
  <c r="T8" i="4" a="1"/>
  <c r="T8" i="4" s="1"/>
  <c r="P9" i="4" a="1"/>
  <c r="P9" i="4" s="1"/>
  <c r="Q9" i="4" a="1"/>
  <c r="Q9" i="4" s="1"/>
  <c r="R9" i="4" a="1"/>
  <c r="R9" i="4" s="1"/>
  <c r="S9" i="4" a="1"/>
  <c r="S9" i="4" s="1"/>
  <c r="T9" i="4" a="1"/>
  <c r="T9" i="4" s="1"/>
  <c r="P10" i="4" a="1"/>
  <c r="P10" i="4" s="1"/>
  <c r="Q10" i="4" a="1"/>
  <c r="Q10" i="4" s="1"/>
  <c r="R10" i="4" a="1"/>
  <c r="R10" i="4" s="1"/>
  <c r="S10" i="4" a="1"/>
  <c r="S10" i="4" s="1"/>
  <c r="T10" i="4" a="1"/>
  <c r="T10" i="4" s="1"/>
  <c r="P11" i="4" a="1"/>
  <c r="P11" i="4" s="1"/>
  <c r="Q11" i="4" a="1"/>
  <c r="Q11" i="4" s="1"/>
  <c r="R11" i="4" a="1"/>
  <c r="R11" i="4" s="1"/>
  <c r="S11" i="4" a="1"/>
  <c r="S11" i="4" s="1"/>
  <c r="T11" i="4" a="1"/>
  <c r="T11" i="4" s="1"/>
  <c r="P12" i="4" a="1"/>
  <c r="P12" i="4" s="1"/>
  <c r="Q12" i="4" a="1"/>
  <c r="Q12" i="4" s="1"/>
  <c r="R12" i="4" a="1"/>
  <c r="R12" i="4" s="1"/>
  <c r="S12" i="4" a="1"/>
  <c r="S12" i="4" s="1"/>
  <c r="T12" i="4" a="1"/>
  <c r="T12" i="4" s="1"/>
  <c r="P13" i="4" a="1"/>
  <c r="P13" i="4" s="1"/>
  <c r="Q13" i="4" a="1"/>
  <c r="Q13" i="4" s="1"/>
  <c r="R13" i="4" a="1"/>
  <c r="R13" i="4" s="1"/>
  <c r="S13" i="4" a="1"/>
  <c r="S13" i="4" s="1"/>
  <c r="T13" i="4" a="1"/>
  <c r="T13" i="4" s="1"/>
  <c r="P14" i="4" a="1"/>
  <c r="P14" i="4" s="1"/>
  <c r="Q14" i="4" a="1"/>
  <c r="Q14" i="4" s="1"/>
  <c r="R14" i="4" a="1"/>
  <c r="R14" i="4" s="1"/>
  <c r="S14" i="4" a="1"/>
  <c r="S14" i="4" s="1"/>
  <c r="T14" i="4" a="1"/>
  <c r="T14" i="4" s="1"/>
  <c r="P15" i="4" a="1"/>
  <c r="P15" i="4" s="1"/>
  <c r="Q15" i="4" a="1"/>
  <c r="Q15" i="4" s="1"/>
  <c r="R15" i="4" a="1"/>
  <c r="R15" i="4" s="1"/>
  <c r="S15" i="4" a="1"/>
  <c r="S15" i="4" s="1"/>
  <c r="T15" i="4" a="1"/>
  <c r="T15" i="4" s="1"/>
  <c r="P16" i="4" a="1"/>
  <c r="P16" i="4" s="1"/>
  <c r="Q16" i="4" a="1"/>
  <c r="Q16" i="4" s="1"/>
  <c r="R16" i="4" a="1"/>
  <c r="R16" i="4" s="1"/>
  <c r="S16" i="4" a="1"/>
  <c r="S16" i="4" s="1"/>
  <c r="T16" i="4" a="1"/>
  <c r="T16" i="4" s="1"/>
  <c r="P17" i="4" a="1"/>
  <c r="P17" i="4" s="1"/>
  <c r="Q17" i="4" a="1"/>
  <c r="Q17" i="4" s="1"/>
  <c r="R17" i="4" a="1"/>
  <c r="R17" i="4" s="1"/>
  <c r="S17" i="4" a="1"/>
  <c r="S17" i="4" s="1"/>
  <c r="T17" i="4" a="1"/>
  <c r="T17" i="4" s="1"/>
  <c r="P18" i="4" a="1"/>
  <c r="P18" i="4" s="1"/>
  <c r="Q18" i="4" a="1"/>
  <c r="Q18" i="4" s="1"/>
  <c r="R18" i="4" a="1"/>
  <c r="R18" i="4" s="1"/>
  <c r="S18" i="4" a="1"/>
  <c r="S18" i="4" s="1"/>
  <c r="T18" i="4" a="1"/>
  <c r="T18" i="4" s="1"/>
  <c r="P19" i="4" a="1"/>
  <c r="P19" i="4" s="1"/>
  <c r="Q19" i="4" a="1"/>
  <c r="Q19" i="4" s="1"/>
  <c r="R19" i="4" a="1"/>
  <c r="R19" i="4" s="1"/>
  <c r="S19" i="4" a="1"/>
  <c r="S19" i="4" s="1"/>
  <c r="T19" i="4" a="1"/>
  <c r="T19" i="4" s="1"/>
  <c r="P20" i="4" a="1"/>
  <c r="P20" i="4" s="1"/>
  <c r="Q20" i="4" a="1"/>
  <c r="Q20" i="4" s="1"/>
  <c r="R20" i="4" a="1"/>
  <c r="R20" i="4" s="1"/>
  <c r="S20" i="4" a="1"/>
  <c r="S20" i="4" s="1"/>
  <c r="T20" i="4" a="1"/>
  <c r="T20" i="4" s="1"/>
  <c r="P21" i="4" a="1"/>
  <c r="P21" i="4" s="1"/>
  <c r="Q21" i="4" a="1"/>
  <c r="Q21" i="4" s="1"/>
  <c r="R21" i="4" a="1"/>
  <c r="R21" i="4" s="1"/>
  <c r="S21" i="4" a="1"/>
  <c r="S21" i="4" s="1"/>
  <c r="T21" i="4" a="1"/>
  <c r="T21" i="4" s="1"/>
  <c r="P22" i="4" a="1"/>
  <c r="P22" i="4" s="1"/>
  <c r="Q22" i="4" a="1"/>
  <c r="Q22" i="4" s="1"/>
  <c r="R22" i="4" a="1"/>
  <c r="R22" i="4" s="1"/>
  <c r="S22" i="4" a="1"/>
  <c r="S22" i="4" s="1"/>
  <c r="T22" i="4" a="1"/>
  <c r="T22" i="4" s="1"/>
  <c r="P23" i="4" a="1"/>
  <c r="P23" i="4" s="1"/>
  <c r="Q23" i="4" a="1"/>
  <c r="Q23" i="4" s="1"/>
  <c r="R23" i="4" a="1"/>
  <c r="R23" i="4" s="1"/>
  <c r="S23" i="4" a="1"/>
  <c r="S23" i="4" s="1"/>
  <c r="T23" i="4" a="1"/>
  <c r="T23" i="4" s="1"/>
  <c r="P24" i="4" a="1"/>
  <c r="P24" i="4" s="1"/>
  <c r="Q24" i="4" a="1"/>
  <c r="Q24" i="4" s="1"/>
  <c r="R24" i="4" a="1"/>
  <c r="R24" i="4" s="1"/>
  <c r="S24" i="4" a="1"/>
  <c r="S24" i="4" s="1"/>
  <c r="T24" i="4" a="1"/>
  <c r="T24" i="4" s="1"/>
  <c r="P25" i="4" a="1"/>
  <c r="P25" i="4" s="1"/>
  <c r="Q25" i="4" a="1"/>
  <c r="Q25" i="4" s="1"/>
  <c r="R25" i="4" a="1"/>
  <c r="R25" i="4" s="1"/>
  <c r="S25" i="4" a="1"/>
  <c r="S25" i="4" s="1"/>
  <c r="T25" i="4" a="1"/>
  <c r="T25" i="4" s="1"/>
  <c r="P26" i="4" a="1"/>
  <c r="P26" i="4" s="1"/>
  <c r="Q26" i="4" a="1"/>
  <c r="Q26" i="4" s="1"/>
  <c r="R26" i="4" a="1"/>
  <c r="R26" i="4" s="1"/>
  <c r="S26" i="4" a="1"/>
  <c r="S26" i="4" s="1"/>
  <c r="T26" i="4" a="1"/>
  <c r="T26" i="4" s="1"/>
  <c r="P27" i="4" a="1"/>
  <c r="P27" i="4" s="1"/>
  <c r="Q27" i="4" a="1"/>
  <c r="Q27" i="4" s="1"/>
  <c r="R27" i="4" a="1"/>
  <c r="R27" i="4" s="1"/>
  <c r="S27" i="4" a="1"/>
  <c r="S27" i="4" s="1"/>
  <c r="T27" i="4" a="1"/>
  <c r="T27" i="4" s="1"/>
  <c r="P28" i="4" a="1"/>
  <c r="P28" i="4" s="1"/>
  <c r="Q28" i="4" a="1"/>
  <c r="Q28" i="4" s="1"/>
  <c r="R28" i="4" a="1"/>
  <c r="R28" i="4" s="1"/>
  <c r="S28" i="4" a="1"/>
  <c r="S28" i="4" s="1"/>
  <c r="T28" i="4" a="1"/>
  <c r="T28" i="4" s="1"/>
  <c r="P29" i="4" a="1"/>
  <c r="P29" i="4" s="1"/>
  <c r="Q29" i="4" a="1"/>
  <c r="Q29" i="4" s="1"/>
  <c r="R29" i="4" a="1"/>
  <c r="R29" i="4" s="1"/>
  <c r="S29" i="4" a="1"/>
  <c r="S29" i="4" s="1"/>
  <c r="T29" i="4" a="1"/>
  <c r="T29" i="4" s="1"/>
  <c r="P30" i="4" a="1"/>
  <c r="P30" i="4" s="1"/>
  <c r="Q30" i="4" a="1"/>
  <c r="Q30" i="4" s="1"/>
  <c r="R30" i="4" a="1"/>
  <c r="R30" i="4" s="1"/>
  <c r="S30" i="4" a="1"/>
  <c r="S30" i="4" s="1"/>
  <c r="T30" i="4" a="1"/>
  <c r="T30" i="4" s="1"/>
  <c r="P31" i="4" a="1"/>
  <c r="P31" i="4" s="1"/>
  <c r="Q31" i="4" a="1"/>
  <c r="Q31" i="4" s="1"/>
  <c r="R31" i="4" a="1"/>
  <c r="R31" i="4" s="1"/>
  <c r="S31" i="4" a="1"/>
  <c r="S31" i="4" s="1"/>
  <c r="T31" i="4" a="1"/>
  <c r="T31" i="4" s="1"/>
  <c r="P32" i="4" a="1"/>
  <c r="P32" i="4" s="1"/>
  <c r="Q32" i="4" a="1"/>
  <c r="Q32" i="4" s="1"/>
  <c r="R32" i="4" a="1"/>
  <c r="R32" i="4" s="1"/>
  <c r="S32" i="4" a="1"/>
  <c r="S32" i="4" s="1"/>
  <c r="T32" i="4" a="1"/>
  <c r="T32" i="4" s="1"/>
  <c r="P33" i="4" a="1"/>
  <c r="P33" i="4" s="1"/>
  <c r="Q33" i="4" a="1"/>
  <c r="Q33" i="4" s="1"/>
  <c r="R33" i="4" a="1"/>
  <c r="R33" i="4" s="1"/>
  <c r="S33" i="4" a="1"/>
  <c r="S33" i="4" s="1"/>
  <c r="T33" i="4" a="1"/>
  <c r="T33" i="4" s="1"/>
  <c r="P34" i="4" a="1"/>
  <c r="P34" i="4" s="1"/>
  <c r="Q34" i="4" a="1"/>
  <c r="Q34" i="4" s="1"/>
  <c r="R34" i="4" a="1"/>
  <c r="R34" i="4" s="1"/>
  <c r="S34" i="4" a="1"/>
  <c r="S34" i="4" s="1"/>
  <c r="T34" i="4" a="1"/>
  <c r="T34" i="4" s="1"/>
  <c r="P35" i="4" a="1"/>
  <c r="P35" i="4" s="1"/>
  <c r="Q35" i="4" a="1"/>
  <c r="Q35" i="4" s="1"/>
  <c r="R35" i="4" a="1"/>
  <c r="R35" i="4" s="1"/>
  <c r="S35" i="4" a="1"/>
  <c r="S35" i="4" s="1"/>
  <c r="T35" i="4" a="1"/>
  <c r="T35" i="4" s="1"/>
  <c r="P36" i="4" a="1"/>
  <c r="P36" i="4" s="1"/>
  <c r="Q36" i="4" a="1"/>
  <c r="Q36" i="4" s="1"/>
  <c r="R36" i="4" a="1"/>
  <c r="R36" i="4" s="1"/>
  <c r="S36" i="4" a="1"/>
  <c r="S36" i="4" s="1"/>
  <c r="T36" i="4" a="1"/>
  <c r="T36" i="4" s="1"/>
  <c r="P37" i="4" a="1"/>
  <c r="P37" i="4" s="1"/>
  <c r="Q37" i="4" a="1"/>
  <c r="Q37" i="4" s="1"/>
  <c r="R37" i="4" a="1"/>
  <c r="R37" i="4" s="1"/>
  <c r="S37" i="4" a="1"/>
  <c r="S37" i="4" s="1"/>
  <c r="T37" i="4" a="1"/>
  <c r="T37" i="4" s="1"/>
  <c r="P38" i="4" a="1"/>
  <c r="P38" i="4" s="1"/>
  <c r="Q38" i="4" a="1"/>
  <c r="Q38" i="4" s="1"/>
  <c r="R38" i="4" a="1"/>
  <c r="R38" i="4" s="1"/>
  <c r="S38" i="4" a="1"/>
  <c r="S38" i="4" s="1"/>
  <c r="T38" i="4" a="1"/>
  <c r="T38" i="4" s="1"/>
  <c r="P39" i="4" a="1"/>
  <c r="P39" i="4" s="1"/>
  <c r="Q39" i="4" a="1"/>
  <c r="Q39" i="4" s="1"/>
  <c r="R39" i="4" a="1"/>
  <c r="R39" i="4" s="1"/>
  <c r="S39" i="4" a="1"/>
  <c r="S39" i="4" s="1"/>
  <c r="T39" i="4" a="1"/>
  <c r="T39" i="4" s="1"/>
  <c r="P40" i="4" a="1"/>
  <c r="P40" i="4" s="1"/>
  <c r="Q40" i="4" a="1"/>
  <c r="Q40" i="4" s="1"/>
  <c r="R40" i="4" a="1"/>
  <c r="R40" i="4" s="1"/>
  <c r="S40" i="4" a="1"/>
  <c r="S40" i="4" s="1"/>
  <c r="T40" i="4" a="1"/>
  <c r="T40" i="4" s="1"/>
  <c r="P41" i="4" a="1"/>
  <c r="P41" i="4" s="1"/>
  <c r="Q41" i="4" a="1"/>
  <c r="Q41" i="4" s="1"/>
  <c r="R41" i="4" a="1"/>
  <c r="R41" i="4" s="1"/>
  <c r="S41" i="4" a="1"/>
  <c r="S41" i="4" s="1"/>
  <c r="T41" i="4" a="1"/>
  <c r="T41" i="4" s="1"/>
  <c r="P42" i="4" a="1"/>
  <c r="P42" i="4" s="1"/>
  <c r="Q42" i="4" a="1"/>
  <c r="Q42" i="4" s="1"/>
  <c r="R42" i="4" a="1"/>
  <c r="R42" i="4" s="1"/>
  <c r="S42" i="4" a="1"/>
  <c r="S42" i="4" s="1"/>
  <c r="T42" i="4" a="1"/>
  <c r="T42" i="4" s="1"/>
  <c r="P43" i="4" a="1"/>
  <c r="P43" i="4" s="1"/>
  <c r="Q43" i="4" a="1"/>
  <c r="Q43" i="4" s="1"/>
  <c r="R43" i="4" a="1"/>
  <c r="R43" i="4" s="1"/>
  <c r="S43" i="4" a="1"/>
  <c r="S43" i="4" s="1"/>
  <c r="T43" i="4" a="1"/>
  <c r="T43" i="4" s="1"/>
  <c r="P44" i="4" a="1"/>
  <c r="P44" i="4" s="1"/>
  <c r="Q44" i="4" a="1"/>
  <c r="Q44" i="4" s="1"/>
  <c r="R44" i="4" a="1"/>
  <c r="R44" i="4" s="1"/>
  <c r="S44" i="4" a="1"/>
  <c r="S44" i="4" s="1"/>
  <c r="T44" i="4" a="1"/>
  <c r="T44" i="4" s="1"/>
  <c r="P45" i="4" a="1"/>
  <c r="P45" i="4" s="1"/>
  <c r="Q45" i="4" a="1"/>
  <c r="Q45" i="4" s="1"/>
  <c r="R45" i="4" a="1"/>
  <c r="R45" i="4" s="1"/>
  <c r="S45" i="4" a="1"/>
  <c r="S45" i="4" s="1"/>
  <c r="T45" i="4" a="1"/>
  <c r="T45" i="4" s="1"/>
  <c r="P46" i="4" a="1"/>
  <c r="P46" i="4" s="1"/>
  <c r="Q46" i="4" a="1"/>
  <c r="Q46" i="4" s="1"/>
  <c r="R46" i="4" a="1"/>
  <c r="R46" i="4" s="1"/>
  <c r="S46" i="4" a="1"/>
  <c r="S46" i="4" s="1"/>
  <c r="T46" i="4" a="1"/>
  <c r="T46" i="4" s="1"/>
  <c r="P47" i="4" a="1"/>
  <c r="P47" i="4" s="1"/>
  <c r="Q47" i="4" a="1"/>
  <c r="Q47" i="4" s="1"/>
  <c r="R47" i="4" a="1"/>
  <c r="R47" i="4" s="1"/>
  <c r="S47" i="4" a="1"/>
  <c r="S47" i="4" s="1"/>
  <c r="T47" i="4" a="1"/>
  <c r="T47" i="4" s="1"/>
  <c r="P48" i="4" a="1"/>
  <c r="P48" i="4" s="1"/>
  <c r="Q48" i="4" a="1"/>
  <c r="Q48" i="4" s="1"/>
  <c r="R48" i="4" a="1"/>
  <c r="R48" i="4" s="1"/>
  <c r="S48" i="4" a="1"/>
  <c r="S48" i="4" s="1"/>
  <c r="T48" i="4" a="1"/>
  <c r="T48" i="4" s="1"/>
  <c r="P49" i="4" a="1"/>
  <c r="P49" i="4" s="1"/>
  <c r="Q49" i="4" a="1"/>
  <c r="Q49" i="4" s="1"/>
  <c r="R49" i="4" a="1"/>
  <c r="R49" i="4" s="1"/>
  <c r="S49" i="4" a="1"/>
  <c r="S49" i="4" s="1"/>
  <c r="T49" i="4" a="1"/>
  <c r="T49" i="4" s="1"/>
  <c r="P50" i="4" a="1"/>
  <c r="P50" i="4" s="1"/>
  <c r="Q50" i="4" a="1"/>
  <c r="Q50" i="4" s="1"/>
  <c r="R50" i="4" a="1"/>
  <c r="R50" i="4" s="1"/>
  <c r="S50" i="4" a="1"/>
  <c r="S50" i="4" s="1"/>
  <c r="T50" i="4" a="1"/>
  <c r="T50" i="4" s="1"/>
  <c r="P51" i="4" a="1"/>
  <c r="P51" i="4" s="1"/>
  <c r="Q51" i="4" a="1"/>
  <c r="Q51" i="4" s="1"/>
  <c r="R51" i="4" a="1"/>
  <c r="R51" i="4" s="1"/>
  <c r="S51" i="4" a="1"/>
  <c r="S51" i="4" s="1"/>
  <c r="T51" i="4" a="1"/>
  <c r="T51" i="4" s="1"/>
  <c r="P52" i="4" a="1"/>
  <c r="P52" i="4" s="1"/>
  <c r="Q52" i="4" a="1"/>
  <c r="Q52" i="4" s="1"/>
  <c r="R52" i="4" a="1"/>
  <c r="R52" i="4" s="1"/>
  <c r="S52" i="4" a="1"/>
  <c r="S52" i="4" s="1"/>
  <c r="T52" i="4" a="1"/>
  <c r="T52" i="4" s="1"/>
  <c r="P53" i="4" a="1"/>
  <c r="P53" i="4" s="1"/>
  <c r="Q53" i="4" a="1"/>
  <c r="Q53" i="4" s="1"/>
  <c r="R53" i="4" a="1"/>
  <c r="R53" i="4" s="1"/>
  <c r="S53" i="4" a="1"/>
  <c r="S53" i="4" s="1"/>
  <c r="T53" i="4" a="1"/>
  <c r="T53" i="4" s="1"/>
  <c r="P54" i="4" a="1"/>
  <c r="P54" i="4" s="1"/>
  <c r="Q54" i="4" a="1"/>
  <c r="Q54" i="4" s="1"/>
  <c r="R54" i="4" a="1"/>
  <c r="R54" i="4" s="1"/>
  <c r="S54" i="4" a="1"/>
  <c r="S54" i="4" s="1"/>
  <c r="T54" i="4" a="1"/>
  <c r="T54" i="4" s="1"/>
  <c r="P55" i="4" a="1"/>
  <c r="P55" i="4" s="1"/>
  <c r="Q55" i="4" a="1"/>
  <c r="Q55" i="4" s="1"/>
  <c r="R55" i="4" a="1"/>
  <c r="R55" i="4" s="1"/>
  <c r="S55" i="4" a="1"/>
  <c r="S55" i="4" s="1"/>
  <c r="T55" i="4" a="1"/>
  <c r="T55" i="4" s="1"/>
  <c r="P56" i="4" a="1"/>
  <c r="P56" i="4" s="1"/>
  <c r="Q56" i="4" a="1"/>
  <c r="Q56" i="4" s="1"/>
  <c r="R56" i="4" a="1"/>
  <c r="R56" i="4" s="1"/>
  <c r="S56" i="4" a="1"/>
  <c r="S56" i="4" s="1"/>
  <c r="T56" i="4" a="1"/>
  <c r="T56" i="4" s="1"/>
  <c r="P57" i="4" a="1"/>
  <c r="P57" i="4" s="1"/>
  <c r="Q57" i="4" a="1"/>
  <c r="Q57" i="4" s="1"/>
  <c r="R57" i="4" a="1"/>
  <c r="R57" i="4" s="1"/>
  <c r="S57" i="4" a="1"/>
  <c r="S57" i="4" s="1"/>
  <c r="T57" i="4" a="1"/>
  <c r="T57" i="4" s="1"/>
  <c r="P58" i="4" a="1"/>
  <c r="P58" i="4" s="1"/>
  <c r="Q58" i="4" a="1"/>
  <c r="Q58" i="4" s="1"/>
  <c r="R58" i="4" a="1"/>
  <c r="R58" i="4" s="1"/>
  <c r="S58" i="4" a="1"/>
  <c r="S58" i="4" s="1"/>
  <c r="T58" i="4" a="1"/>
  <c r="T58" i="4" s="1"/>
  <c r="P59" i="4" a="1"/>
  <c r="P59" i="4" s="1"/>
  <c r="Q59" i="4" a="1"/>
  <c r="Q59" i="4" s="1"/>
  <c r="R59" i="4" a="1"/>
  <c r="R59" i="4" s="1"/>
  <c r="S59" i="4" a="1"/>
  <c r="S59" i="4" s="1"/>
  <c r="T59" i="4" a="1"/>
  <c r="T59" i="4" s="1"/>
  <c r="P60" i="4" a="1"/>
  <c r="P60" i="4" s="1"/>
  <c r="Q60" i="4" a="1"/>
  <c r="Q60" i="4" s="1"/>
  <c r="R60" i="4" a="1"/>
  <c r="R60" i="4" s="1"/>
  <c r="S60" i="4" a="1"/>
  <c r="S60" i="4" s="1"/>
  <c r="T60" i="4" a="1"/>
  <c r="T60" i="4" s="1"/>
  <c r="P61" i="4" a="1"/>
  <c r="P61" i="4" s="1"/>
  <c r="Q61" i="4" a="1"/>
  <c r="Q61" i="4" s="1"/>
  <c r="R61" i="4" a="1"/>
  <c r="R61" i="4" s="1"/>
  <c r="S61" i="4" a="1"/>
  <c r="S61" i="4" s="1"/>
  <c r="T61" i="4" a="1"/>
  <c r="T61" i="4" s="1"/>
  <c r="P62" i="4" a="1"/>
  <c r="P62" i="4" s="1"/>
  <c r="Q62" i="4" a="1"/>
  <c r="Q62" i="4" s="1"/>
  <c r="R62" i="4" a="1"/>
  <c r="R62" i="4" s="1"/>
  <c r="S62" i="4" a="1"/>
  <c r="S62" i="4" s="1"/>
  <c r="T62" i="4" a="1"/>
  <c r="T62" i="4" s="1"/>
  <c r="P63" i="4" a="1"/>
  <c r="P63" i="4" s="1"/>
  <c r="Q63" i="4" a="1"/>
  <c r="Q63" i="4" s="1"/>
  <c r="R63" i="4" a="1"/>
  <c r="R63" i="4" s="1"/>
  <c r="S63" i="4" a="1"/>
  <c r="S63" i="4" s="1"/>
  <c r="T63" i="4" a="1"/>
  <c r="T63" i="4" s="1"/>
  <c r="P64" i="4" a="1"/>
  <c r="P64" i="4" s="1"/>
  <c r="Q64" i="4" a="1"/>
  <c r="Q64" i="4" s="1"/>
  <c r="R64" i="4" a="1"/>
  <c r="R64" i="4" s="1"/>
  <c r="S64" i="4" a="1"/>
  <c r="S64" i="4" s="1"/>
  <c r="T64" i="4" a="1"/>
  <c r="T64" i="4" s="1"/>
  <c r="P65" i="4" a="1"/>
  <c r="P65" i="4" s="1"/>
  <c r="Q65" i="4" a="1"/>
  <c r="Q65" i="4" s="1"/>
  <c r="R65" i="4" a="1"/>
  <c r="R65" i="4" s="1"/>
  <c r="S65" i="4" a="1"/>
  <c r="S65" i="4" s="1"/>
  <c r="T65" i="4" a="1"/>
  <c r="T65" i="4" s="1"/>
  <c r="P66" i="4" a="1"/>
  <c r="P66" i="4" s="1"/>
  <c r="Q66" i="4" a="1"/>
  <c r="Q66" i="4" s="1"/>
  <c r="R66" i="4" a="1"/>
  <c r="R66" i="4" s="1"/>
  <c r="S66" i="4" a="1"/>
  <c r="S66" i="4" s="1"/>
  <c r="T66" i="4" a="1"/>
  <c r="T66" i="4" s="1"/>
  <c r="P67" i="4" a="1"/>
  <c r="P67" i="4" s="1"/>
  <c r="Q67" i="4" a="1"/>
  <c r="Q67" i="4" s="1"/>
  <c r="R67" i="4" a="1"/>
  <c r="R67" i="4" s="1"/>
  <c r="S67" i="4" a="1"/>
  <c r="S67" i="4" s="1"/>
  <c r="T67" i="4" a="1"/>
  <c r="T67" i="4" s="1"/>
  <c r="P68" i="4" a="1"/>
  <c r="P68" i="4" s="1"/>
  <c r="Q68" i="4" a="1"/>
  <c r="Q68" i="4" s="1"/>
  <c r="R68" i="4" a="1"/>
  <c r="R68" i="4" s="1"/>
  <c r="S68" i="4" a="1"/>
  <c r="S68" i="4" s="1"/>
  <c r="T68" i="4" a="1"/>
  <c r="T68" i="4" s="1"/>
  <c r="P69" i="4" a="1"/>
  <c r="P69" i="4" s="1"/>
  <c r="Q69" i="4" a="1"/>
  <c r="Q69" i="4" s="1"/>
  <c r="R69" i="4" a="1"/>
  <c r="R69" i="4" s="1"/>
  <c r="S69" i="4" a="1"/>
  <c r="S69" i="4" s="1"/>
  <c r="T69" i="4" a="1"/>
  <c r="T69" i="4" s="1"/>
  <c r="P70" i="4" a="1"/>
  <c r="P70" i="4" s="1"/>
  <c r="Q70" i="4" a="1"/>
  <c r="Q70" i="4" s="1"/>
  <c r="R70" i="4" a="1"/>
  <c r="R70" i="4" s="1"/>
  <c r="S70" i="4" a="1"/>
  <c r="S70" i="4" s="1"/>
  <c r="T70" i="4" a="1"/>
  <c r="T70" i="4" s="1"/>
  <c r="P71" i="4" a="1"/>
  <c r="P71" i="4" s="1"/>
  <c r="Q71" i="4" a="1"/>
  <c r="Q71" i="4" s="1"/>
  <c r="R71" i="4" a="1"/>
  <c r="R71" i="4" s="1"/>
  <c r="S71" i="4" a="1"/>
  <c r="S71" i="4" s="1"/>
  <c r="T71" i="4" a="1"/>
  <c r="T71" i="4" s="1"/>
  <c r="P72" i="4" a="1"/>
  <c r="P72" i="4" s="1"/>
  <c r="Q72" i="4" a="1"/>
  <c r="Q72" i="4" s="1"/>
  <c r="R72" i="4" a="1"/>
  <c r="R72" i="4" s="1"/>
  <c r="S72" i="4" a="1"/>
  <c r="S72" i="4" s="1"/>
  <c r="T72" i="4" a="1"/>
  <c r="T72" i="4" s="1"/>
  <c r="P73" i="4" a="1"/>
  <c r="P73" i="4" s="1"/>
  <c r="Q73" i="4" a="1"/>
  <c r="Q73" i="4" s="1"/>
  <c r="R73" i="4" a="1"/>
  <c r="R73" i="4" s="1"/>
  <c r="S73" i="4" a="1"/>
  <c r="S73" i="4" s="1"/>
  <c r="T73" i="4" a="1"/>
  <c r="T73" i="4" s="1"/>
  <c r="P74" i="4" a="1"/>
  <c r="P74" i="4" s="1"/>
  <c r="Q74" i="4" a="1"/>
  <c r="Q74" i="4" s="1"/>
  <c r="R74" i="4" a="1"/>
  <c r="R74" i="4" s="1"/>
  <c r="S74" i="4" a="1"/>
  <c r="S74" i="4" s="1"/>
  <c r="T74" i="4" a="1"/>
  <c r="T74" i="4" s="1"/>
  <c r="P75" i="4" a="1"/>
  <c r="P75" i="4" s="1"/>
  <c r="Q75" i="4" a="1"/>
  <c r="Q75" i="4" s="1"/>
  <c r="R75" i="4" a="1"/>
  <c r="R75" i="4" s="1"/>
  <c r="S75" i="4" a="1"/>
  <c r="S75" i="4" s="1"/>
  <c r="T75" i="4" a="1"/>
  <c r="T75" i="4" s="1"/>
  <c r="P76" i="4" a="1"/>
  <c r="P76" i="4" s="1"/>
  <c r="Q76" i="4" a="1"/>
  <c r="Q76" i="4" s="1"/>
  <c r="R76" i="4" a="1"/>
  <c r="R76" i="4" s="1"/>
  <c r="S76" i="4" a="1"/>
  <c r="S76" i="4" s="1"/>
  <c r="T76" i="4" a="1"/>
  <c r="T76" i="4" s="1"/>
  <c r="P77" i="4" a="1"/>
  <c r="P77" i="4" s="1"/>
  <c r="Q77" i="4" a="1"/>
  <c r="Q77" i="4" s="1"/>
  <c r="R77" i="4" a="1"/>
  <c r="R77" i="4" s="1"/>
  <c r="S77" i="4" a="1"/>
  <c r="S77" i="4" s="1"/>
  <c r="T77" i="4" a="1"/>
  <c r="T77" i="4" s="1"/>
  <c r="P78" i="4" a="1"/>
  <c r="P78" i="4" s="1"/>
  <c r="Q78" i="4" a="1"/>
  <c r="Q78" i="4" s="1"/>
  <c r="R78" i="4" a="1"/>
  <c r="R78" i="4" s="1"/>
  <c r="S78" i="4" a="1"/>
  <c r="S78" i="4" s="1"/>
  <c r="T78" i="4" a="1"/>
  <c r="T78" i="4" s="1"/>
  <c r="P79" i="4" a="1"/>
  <c r="P79" i="4" s="1"/>
  <c r="Q79" i="4" a="1"/>
  <c r="Q79" i="4" s="1"/>
  <c r="R79" i="4" a="1"/>
  <c r="R79" i="4" s="1"/>
  <c r="S79" i="4" a="1"/>
  <c r="S79" i="4" s="1"/>
  <c r="T79" i="4" a="1"/>
  <c r="T79" i="4" s="1"/>
  <c r="P80" i="4" a="1"/>
  <c r="P80" i="4" s="1"/>
  <c r="Q80" i="4" a="1"/>
  <c r="Q80" i="4" s="1"/>
  <c r="R80" i="4" a="1"/>
  <c r="R80" i="4" s="1"/>
  <c r="S80" i="4" a="1"/>
  <c r="S80" i="4" s="1"/>
  <c r="T80" i="4" a="1"/>
  <c r="T80" i="4" s="1"/>
  <c r="P81" i="4" a="1"/>
  <c r="P81" i="4" s="1"/>
  <c r="Q81" i="4" a="1"/>
  <c r="Q81" i="4" s="1"/>
  <c r="R81" i="4" a="1"/>
  <c r="R81" i="4" s="1"/>
  <c r="S81" i="4" a="1"/>
  <c r="S81" i="4" s="1"/>
  <c r="T81" i="4" a="1"/>
  <c r="T81" i="4" s="1"/>
  <c r="P82" i="4" a="1"/>
  <c r="P82" i="4" s="1"/>
  <c r="Q82" i="4" a="1"/>
  <c r="Q82" i="4" s="1"/>
  <c r="R82" i="4" a="1"/>
  <c r="R82" i="4" s="1"/>
  <c r="S82" i="4" a="1"/>
  <c r="S82" i="4" s="1"/>
  <c r="T82" i="4" a="1"/>
  <c r="T82" i="4" s="1"/>
  <c r="P83" i="4" a="1"/>
  <c r="P83" i="4" s="1"/>
  <c r="Q83" i="4" a="1"/>
  <c r="Q83" i="4" s="1"/>
  <c r="R83" i="4" a="1"/>
  <c r="R83" i="4" s="1"/>
  <c r="S83" i="4" a="1"/>
  <c r="S83" i="4" s="1"/>
  <c r="T83" i="4" a="1"/>
  <c r="T83" i="4" s="1"/>
  <c r="P84" i="4" a="1"/>
  <c r="P84" i="4" s="1"/>
  <c r="Q84" i="4" a="1"/>
  <c r="Q84" i="4" s="1"/>
  <c r="R84" i="4" a="1"/>
  <c r="R84" i="4" s="1"/>
  <c r="S84" i="4" a="1"/>
  <c r="S84" i="4" s="1"/>
  <c r="T84" i="4" a="1"/>
  <c r="T84" i="4" s="1"/>
  <c r="P85" i="4" a="1"/>
  <c r="P85" i="4" s="1"/>
  <c r="Q85" i="4" a="1"/>
  <c r="Q85" i="4" s="1"/>
  <c r="R85" i="4" a="1"/>
  <c r="R85" i="4" s="1"/>
  <c r="S85" i="4" a="1"/>
  <c r="S85" i="4" s="1"/>
  <c r="T85" i="4" a="1"/>
  <c r="T85" i="4" s="1"/>
  <c r="P86" i="4" a="1"/>
  <c r="P86" i="4" s="1"/>
  <c r="Q86" i="4" a="1"/>
  <c r="Q86" i="4" s="1"/>
  <c r="R86" i="4" a="1"/>
  <c r="R86" i="4" s="1"/>
  <c r="S86" i="4" a="1"/>
  <c r="S86" i="4" s="1"/>
  <c r="T86" i="4" a="1"/>
  <c r="T86" i="4" s="1"/>
  <c r="P87" i="4" a="1"/>
  <c r="P87" i="4" s="1"/>
  <c r="Q87" i="4" a="1"/>
  <c r="Q87" i="4" s="1"/>
  <c r="R87" i="4" a="1"/>
  <c r="R87" i="4" s="1"/>
  <c r="S87" i="4" a="1"/>
  <c r="S87" i="4" s="1"/>
  <c r="T87" i="4" a="1"/>
  <c r="T87" i="4" s="1"/>
  <c r="P88" i="4" a="1"/>
  <c r="P88" i="4" s="1"/>
  <c r="Q88" i="4" a="1"/>
  <c r="Q88" i="4" s="1"/>
  <c r="R88" i="4" a="1"/>
  <c r="R88" i="4" s="1"/>
  <c r="S88" i="4" a="1"/>
  <c r="S88" i="4" s="1"/>
  <c r="T88" i="4" a="1"/>
  <c r="T88" i="4" s="1"/>
  <c r="P89" i="4" a="1"/>
  <c r="P89" i="4" s="1"/>
  <c r="Q89" i="4" a="1"/>
  <c r="Q89" i="4" s="1"/>
  <c r="R89" i="4" a="1"/>
  <c r="R89" i="4" s="1"/>
  <c r="S89" i="4" a="1"/>
  <c r="S89" i="4" s="1"/>
  <c r="T89" i="4" a="1"/>
  <c r="T89" i="4" s="1"/>
  <c r="P90" i="4" a="1"/>
  <c r="P90" i="4" s="1"/>
  <c r="Q90" i="4" a="1"/>
  <c r="Q90" i="4" s="1"/>
  <c r="R90" i="4" a="1"/>
  <c r="R90" i="4" s="1"/>
  <c r="S90" i="4" a="1"/>
  <c r="S90" i="4" s="1"/>
  <c r="T90" i="4" a="1"/>
  <c r="T90" i="4" s="1"/>
  <c r="P91" i="4" a="1"/>
  <c r="P91" i="4" s="1"/>
  <c r="Q91" i="4" a="1"/>
  <c r="Q91" i="4" s="1"/>
  <c r="R91" i="4" a="1"/>
  <c r="R91" i="4" s="1"/>
  <c r="S91" i="4" a="1"/>
  <c r="S91" i="4" s="1"/>
  <c r="T91" i="4" a="1"/>
  <c r="T91" i="4" s="1"/>
  <c r="P92" i="4" a="1"/>
  <c r="P92" i="4" s="1"/>
  <c r="Q92" i="4" a="1"/>
  <c r="Q92" i="4" s="1"/>
  <c r="R92" i="4" a="1"/>
  <c r="R92" i="4" s="1"/>
  <c r="S92" i="4" a="1"/>
  <c r="S92" i="4" s="1"/>
  <c r="T92" i="4" a="1"/>
  <c r="T92" i="4" s="1"/>
  <c r="P93" i="4" a="1"/>
  <c r="P93" i="4" s="1"/>
  <c r="Q93" i="4" a="1"/>
  <c r="Q93" i="4" s="1"/>
  <c r="R93" i="4" a="1"/>
  <c r="R93" i="4" s="1"/>
  <c r="S93" i="4" a="1"/>
  <c r="S93" i="4" s="1"/>
  <c r="T93" i="4" a="1"/>
  <c r="T93" i="4" s="1"/>
  <c r="P94" i="4" a="1"/>
  <c r="P94" i="4" s="1"/>
  <c r="Q94" i="4" a="1"/>
  <c r="Q94" i="4" s="1"/>
  <c r="R94" i="4" a="1"/>
  <c r="R94" i="4" s="1"/>
  <c r="S94" i="4" a="1"/>
  <c r="S94" i="4" s="1"/>
  <c r="T94" i="4" a="1"/>
  <c r="T94" i="4" s="1"/>
  <c r="P95" i="4" a="1"/>
  <c r="P95" i="4" s="1"/>
  <c r="Q95" i="4" a="1"/>
  <c r="Q95" i="4" s="1"/>
  <c r="R95" i="4" a="1"/>
  <c r="R95" i="4" s="1"/>
  <c r="S95" i="4" a="1"/>
  <c r="S95" i="4" s="1"/>
  <c r="T95" i="4" a="1"/>
  <c r="T95" i="4" s="1"/>
  <c r="P96" i="4" a="1"/>
  <c r="P96" i="4" s="1"/>
  <c r="Q96" i="4" a="1"/>
  <c r="Q96" i="4" s="1"/>
  <c r="R96" i="4" a="1"/>
  <c r="R96" i="4" s="1"/>
  <c r="S96" i="4" a="1"/>
  <c r="S96" i="4" s="1"/>
  <c r="T96" i="4" a="1"/>
  <c r="T96" i="4" s="1"/>
  <c r="P97" i="4" a="1"/>
  <c r="P97" i="4" s="1"/>
  <c r="Q97" i="4" a="1"/>
  <c r="Q97" i="4" s="1"/>
  <c r="R97" i="4" a="1"/>
  <c r="R97" i="4" s="1"/>
  <c r="S97" i="4" a="1"/>
  <c r="S97" i="4" s="1"/>
  <c r="T97" i="4" a="1"/>
  <c r="T97" i="4" s="1"/>
  <c r="P98" i="4" a="1"/>
  <c r="P98" i="4" s="1"/>
  <c r="Q98" i="4" a="1"/>
  <c r="Q98" i="4" s="1"/>
  <c r="R98" i="4" a="1"/>
  <c r="R98" i="4" s="1"/>
  <c r="S98" i="4" a="1"/>
  <c r="S98" i="4" s="1"/>
  <c r="T98" i="4" a="1"/>
  <c r="T98" i="4" s="1"/>
  <c r="P99" i="4" a="1"/>
  <c r="P99" i="4" s="1"/>
  <c r="Q99" i="4" a="1"/>
  <c r="Q99" i="4" s="1"/>
  <c r="R99" i="4" a="1"/>
  <c r="R99" i="4" s="1"/>
  <c r="S99" i="4" a="1"/>
  <c r="S99" i="4" s="1"/>
  <c r="T99" i="4" a="1"/>
  <c r="T99" i="4" s="1"/>
  <c r="P100" i="4" a="1"/>
  <c r="P100" i="4" s="1"/>
  <c r="Q100" i="4" a="1"/>
  <c r="Q100" i="4" s="1"/>
  <c r="R100" i="4" a="1"/>
  <c r="R100" i="4" s="1"/>
  <c r="S100" i="4" a="1"/>
  <c r="S100" i="4" s="1"/>
  <c r="T100" i="4" a="1"/>
  <c r="T100" i="4" s="1"/>
  <c r="P101" i="4" a="1"/>
  <c r="P101" i="4" s="1"/>
  <c r="Q101" i="4" a="1"/>
  <c r="Q101" i="4" s="1"/>
  <c r="R101" i="4" a="1"/>
  <c r="R101" i="4" s="1"/>
  <c r="S101" i="4" a="1"/>
  <c r="S101" i="4" s="1"/>
  <c r="T101" i="4" a="1"/>
  <c r="T101" i="4" s="1"/>
  <c r="N2" i="4"/>
  <c r="N3" i="4"/>
  <c r="N4" i="4"/>
  <c r="N5" i="4"/>
  <c r="N6" i="4"/>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G37" i="15" s="1"/>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I103" i="4"/>
  <c r="H17" i="12" s="1" a="1"/>
  <c r="H17" i="12" s="1"/>
  <c r="M103" i="4"/>
  <c r="E23" i="12"/>
  <c r="E24" i="12"/>
  <c r="E25" i="12"/>
  <c r="E26" i="12"/>
  <c r="E27" i="12"/>
  <c r="E28" i="12"/>
  <c r="E29" i="12"/>
  <c r="E30" i="12"/>
  <c r="O241" i="1"/>
  <c r="I241" i="1" s="1"/>
  <c r="O240" i="1"/>
  <c r="I240" i="1" s="1"/>
  <c r="O239" i="1"/>
  <c r="I239" i="1" s="1"/>
  <c r="O238" i="1"/>
  <c r="I238" i="1" s="1"/>
  <c r="O237" i="1"/>
  <c r="I237" i="1" s="1"/>
  <c r="O236" i="1"/>
  <c r="I236" i="1" s="1"/>
  <c r="O235" i="1"/>
  <c r="I235" i="1" s="1"/>
  <c r="O234" i="1"/>
  <c r="I234" i="1" s="1"/>
  <c r="O233" i="1"/>
  <c r="I233" i="1" s="1"/>
  <c r="O232" i="1"/>
  <c r="I232" i="1" s="1"/>
  <c r="O231" i="1"/>
  <c r="I231" i="1" s="1"/>
  <c r="O230" i="1"/>
  <c r="I230" i="1" s="1"/>
  <c r="O229" i="1"/>
  <c r="I229" i="1" s="1"/>
  <c r="O228" i="1"/>
  <c r="I228" i="1" s="1"/>
  <c r="O227" i="1"/>
  <c r="I227" i="1" s="1"/>
  <c r="O226" i="1"/>
  <c r="I226" i="1" s="1"/>
  <c r="O225" i="1"/>
  <c r="I225" i="1" s="1"/>
  <c r="O224" i="1"/>
  <c r="I224" i="1" s="1"/>
  <c r="O223" i="1"/>
  <c r="I223" i="1" s="1"/>
  <c r="O222" i="1"/>
  <c r="I222" i="1" s="1"/>
  <c r="O221" i="1"/>
  <c r="I221" i="1" s="1"/>
  <c r="O220" i="1"/>
  <c r="I220" i="1" s="1"/>
  <c r="O219" i="1"/>
  <c r="I219" i="1" s="1"/>
  <c r="O218" i="1"/>
  <c r="I218" i="1" s="1"/>
  <c r="O217" i="1"/>
  <c r="I217" i="1" s="1"/>
  <c r="O216" i="1"/>
  <c r="I216" i="1" s="1"/>
  <c r="O215" i="1"/>
  <c r="I215" i="1" s="1"/>
  <c r="O214" i="1"/>
  <c r="I214" i="1" s="1"/>
  <c r="O213" i="1"/>
  <c r="I213" i="1" s="1"/>
  <c r="O212" i="1"/>
  <c r="I212" i="1" s="1"/>
  <c r="O211" i="1"/>
  <c r="I211" i="1" s="1"/>
  <c r="O210" i="1"/>
  <c r="I210" i="1" s="1"/>
  <c r="O209" i="1"/>
  <c r="I209" i="1" s="1"/>
  <c r="O208" i="1"/>
  <c r="I208" i="1" s="1"/>
  <c r="O207" i="1"/>
  <c r="I207" i="1" s="1"/>
  <c r="O206" i="1"/>
  <c r="I206" i="1" s="1"/>
  <c r="O205" i="1"/>
  <c r="I205" i="1" s="1"/>
  <c r="O204" i="1"/>
  <c r="I204" i="1" s="1"/>
  <c r="O203" i="1"/>
  <c r="I203" i="1" s="1"/>
  <c r="O202" i="1"/>
  <c r="I202" i="1" s="1"/>
  <c r="O201" i="1"/>
  <c r="I201" i="1" s="1"/>
  <c r="O200" i="1"/>
  <c r="I200" i="1" s="1"/>
  <c r="O199" i="1"/>
  <c r="I199" i="1" s="1"/>
  <c r="O198" i="1"/>
  <c r="I198" i="1" s="1"/>
  <c r="O197" i="1"/>
  <c r="I197" i="1" s="1"/>
  <c r="O196" i="1"/>
  <c r="I196" i="1" s="1"/>
  <c r="O195" i="1"/>
  <c r="I195" i="1" s="1"/>
  <c r="O194" i="1"/>
  <c r="I194" i="1" s="1"/>
  <c r="O193" i="1"/>
  <c r="I193" i="1" s="1"/>
  <c r="O192" i="1"/>
  <c r="I192" i="1" s="1"/>
  <c r="O191" i="1"/>
  <c r="I191" i="1" s="1"/>
  <c r="O190" i="1"/>
  <c r="I190" i="1" s="1"/>
  <c r="O189" i="1"/>
  <c r="I189" i="1" s="1"/>
  <c r="O188" i="1"/>
  <c r="I188" i="1" s="1"/>
  <c r="O187" i="1"/>
  <c r="I187" i="1" s="1"/>
  <c r="O186" i="1"/>
  <c r="I186" i="1" s="1"/>
  <c r="O185" i="1"/>
  <c r="I185" i="1" s="1"/>
  <c r="O184" i="1"/>
  <c r="I184" i="1" s="1"/>
  <c r="O183" i="1"/>
  <c r="I183" i="1" s="1"/>
  <c r="O182" i="1"/>
  <c r="I182" i="1" s="1"/>
  <c r="O181" i="1"/>
  <c r="I181" i="1" s="1"/>
  <c r="O180" i="1"/>
  <c r="I180" i="1" s="1"/>
  <c r="O179" i="1"/>
  <c r="I179" i="1" s="1"/>
  <c r="O178" i="1"/>
  <c r="I178" i="1" s="1"/>
  <c r="O177" i="1"/>
  <c r="I177" i="1" s="1"/>
  <c r="O176" i="1"/>
  <c r="I176" i="1" s="1"/>
  <c r="O175" i="1"/>
  <c r="I175" i="1" s="1"/>
  <c r="O174" i="1"/>
  <c r="I174" i="1" s="1"/>
  <c r="O173" i="1"/>
  <c r="I173" i="1" s="1"/>
  <c r="O172" i="1"/>
  <c r="I172" i="1" s="1"/>
  <c r="O171" i="1"/>
  <c r="I171" i="1" s="1"/>
  <c r="O170" i="1"/>
  <c r="I170" i="1" s="1"/>
  <c r="O169" i="1"/>
  <c r="I169" i="1" s="1"/>
  <c r="O168" i="1"/>
  <c r="I168" i="1" s="1"/>
  <c r="O167" i="1"/>
  <c r="I167" i="1" s="1"/>
  <c r="O166" i="1"/>
  <c r="I166" i="1" s="1"/>
  <c r="O165" i="1"/>
  <c r="I165" i="1" s="1"/>
  <c r="O164" i="1"/>
  <c r="I164" i="1" s="1"/>
  <c r="O163" i="1"/>
  <c r="I163" i="1" s="1"/>
  <c r="O162" i="1"/>
  <c r="I162" i="1" s="1"/>
  <c r="O161" i="1"/>
  <c r="I161" i="1" s="1"/>
  <c r="O160" i="1"/>
  <c r="I160" i="1" s="1"/>
  <c r="O159" i="1"/>
  <c r="I159" i="1" s="1"/>
  <c r="O158" i="1"/>
  <c r="I158" i="1" s="1"/>
  <c r="O157" i="1"/>
  <c r="I157" i="1" s="1"/>
  <c r="O156" i="1"/>
  <c r="I156" i="1" s="1"/>
  <c r="O155" i="1"/>
  <c r="I155" i="1" s="1"/>
  <c r="O154" i="1"/>
  <c r="I154" i="1" s="1"/>
  <c r="O153" i="1"/>
  <c r="I153" i="1" s="1"/>
  <c r="O152" i="1"/>
  <c r="I152" i="1" s="1"/>
  <c r="O151" i="1"/>
  <c r="I151" i="1" s="1"/>
  <c r="O150" i="1"/>
  <c r="I150" i="1" s="1"/>
  <c r="O149" i="1"/>
  <c r="I149" i="1" s="1"/>
  <c r="O148" i="1"/>
  <c r="I148" i="1" s="1"/>
  <c r="O147" i="1"/>
  <c r="I147" i="1" s="1"/>
  <c r="O146" i="1"/>
  <c r="I146" i="1" s="1"/>
  <c r="O145" i="1"/>
  <c r="I145" i="1" s="1"/>
  <c r="O144" i="1"/>
  <c r="I144" i="1" s="1"/>
  <c r="O143" i="1"/>
  <c r="I143" i="1" s="1"/>
  <c r="O142" i="1"/>
  <c r="I142" i="1" s="1"/>
  <c r="O141" i="1"/>
  <c r="I141" i="1" s="1"/>
  <c r="O140" i="1"/>
  <c r="I140" i="1" s="1"/>
  <c r="O139" i="1"/>
  <c r="I139" i="1" s="1"/>
  <c r="O138" i="1"/>
  <c r="I138" i="1" s="1"/>
  <c r="O137" i="1"/>
  <c r="I137" i="1" s="1"/>
  <c r="O136" i="1"/>
  <c r="I136" i="1" s="1"/>
  <c r="O135" i="1"/>
  <c r="I135" i="1" s="1"/>
  <c r="O134" i="1"/>
  <c r="I134" i="1" s="1"/>
  <c r="O133" i="1"/>
  <c r="I133" i="1" s="1"/>
  <c r="O132" i="1"/>
  <c r="I132" i="1" s="1"/>
  <c r="O131" i="1"/>
  <c r="I131" i="1" s="1"/>
  <c r="O130" i="1"/>
  <c r="I130" i="1" s="1"/>
  <c r="O129" i="1"/>
  <c r="I129" i="1" s="1"/>
  <c r="O128" i="1"/>
  <c r="I128" i="1" s="1"/>
  <c r="O127" i="1"/>
  <c r="I127" i="1" s="1"/>
  <c r="O126" i="1"/>
  <c r="I126" i="1" s="1"/>
  <c r="O125" i="1"/>
  <c r="I125" i="1" s="1"/>
  <c r="O124" i="1"/>
  <c r="I124" i="1" s="1"/>
  <c r="O123" i="1"/>
  <c r="I123" i="1" s="1"/>
  <c r="O122" i="1"/>
  <c r="I122" i="1" s="1"/>
  <c r="O121" i="1"/>
  <c r="I121" i="1" s="1"/>
  <c r="O120" i="1"/>
  <c r="I120" i="1" s="1"/>
  <c r="O119" i="1"/>
  <c r="I119" i="1" s="1"/>
  <c r="O118" i="1"/>
  <c r="I118" i="1" s="1"/>
  <c r="O117" i="1"/>
  <c r="I117" i="1" s="1"/>
  <c r="O116" i="1"/>
  <c r="I116" i="1" s="1"/>
  <c r="O115" i="1"/>
  <c r="I115" i="1" s="1"/>
  <c r="O114" i="1"/>
  <c r="I114" i="1" s="1"/>
  <c r="O113" i="1"/>
  <c r="I113" i="1" s="1"/>
  <c r="O112" i="1"/>
  <c r="I112" i="1" s="1"/>
  <c r="O111" i="1"/>
  <c r="I111" i="1" s="1"/>
  <c r="O110" i="1"/>
  <c r="I110" i="1" s="1"/>
  <c r="O109" i="1"/>
  <c r="I109" i="1" s="1"/>
  <c r="O108" i="1"/>
  <c r="I108" i="1" s="1"/>
  <c r="O107" i="1"/>
  <c r="I107" i="1" s="1"/>
  <c r="O106" i="1"/>
  <c r="I106" i="1" s="1"/>
  <c r="O105" i="1"/>
  <c r="I105" i="1" s="1"/>
  <c r="O104" i="1"/>
  <c r="I104" i="1" s="1"/>
  <c r="O103" i="1"/>
  <c r="I103" i="1" s="1"/>
  <c r="O102" i="1"/>
  <c r="I102" i="1" s="1"/>
  <c r="O101" i="1"/>
  <c r="I101" i="1" s="1"/>
  <c r="O100" i="1"/>
  <c r="I100" i="1" s="1"/>
  <c r="O99" i="1"/>
  <c r="I99" i="1" s="1"/>
  <c r="O98" i="1"/>
  <c r="I98" i="1" s="1"/>
  <c r="O97" i="1"/>
  <c r="I97" i="1" s="1"/>
  <c r="O96" i="1"/>
  <c r="I96" i="1" s="1"/>
  <c r="O95" i="1"/>
  <c r="I95" i="1" s="1"/>
  <c r="O94" i="1"/>
  <c r="I94" i="1" s="1"/>
  <c r="O93" i="1"/>
  <c r="I93" i="1" s="1"/>
  <c r="O92" i="1"/>
  <c r="I92" i="1" s="1"/>
  <c r="O91" i="1"/>
  <c r="I91" i="1" s="1"/>
  <c r="O90" i="1"/>
  <c r="I90" i="1" s="1"/>
  <c r="O89" i="1"/>
  <c r="I89" i="1" s="1"/>
  <c r="O88" i="1"/>
  <c r="I88" i="1" s="1"/>
  <c r="O87" i="1"/>
  <c r="I87" i="1" s="1"/>
  <c r="O86" i="1"/>
  <c r="I86" i="1" s="1"/>
  <c r="O85" i="1"/>
  <c r="I85" i="1" s="1"/>
  <c r="O84" i="1"/>
  <c r="I84" i="1" s="1"/>
  <c r="O83" i="1"/>
  <c r="I83" i="1" s="1"/>
  <c r="O82" i="1"/>
  <c r="I82" i="1" s="1"/>
  <c r="O81" i="1"/>
  <c r="I81" i="1" s="1"/>
  <c r="O80" i="1"/>
  <c r="I80" i="1" s="1"/>
  <c r="O79" i="1"/>
  <c r="I79" i="1" s="1"/>
  <c r="O78" i="1"/>
  <c r="I78" i="1" s="1"/>
  <c r="O77" i="1"/>
  <c r="I77" i="1" s="1"/>
  <c r="O76" i="1"/>
  <c r="I76" i="1" s="1"/>
  <c r="O75" i="1"/>
  <c r="I75" i="1" s="1"/>
  <c r="O74" i="1"/>
  <c r="I74" i="1" s="1"/>
  <c r="O73" i="1"/>
  <c r="I73" i="1" s="1"/>
  <c r="O72" i="1"/>
  <c r="I72" i="1" s="1"/>
  <c r="O71" i="1"/>
  <c r="I71" i="1" s="1"/>
  <c r="O70" i="1"/>
  <c r="I70" i="1" s="1"/>
  <c r="O69" i="1"/>
  <c r="I69" i="1" s="1"/>
  <c r="O68" i="1"/>
  <c r="I68" i="1" s="1"/>
  <c r="O67" i="1"/>
  <c r="I67" i="1" s="1"/>
  <c r="O66" i="1"/>
  <c r="I66" i="1" s="1"/>
  <c r="O65" i="1"/>
  <c r="I65" i="1" s="1"/>
  <c r="O64" i="1"/>
  <c r="I64" i="1" s="1"/>
  <c r="O63" i="1"/>
  <c r="I63" i="1" s="1"/>
  <c r="O62" i="1"/>
  <c r="I62" i="1" s="1"/>
  <c r="O61" i="1"/>
  <c r="I61" i="1" s="1"/>
  <c r="O60" i="1"/>
  <c r="I60" i="1" s="1"/>
  <c r="O59" i="1"/>
  <c r="I59" i="1" s="1"/>
  <c r="O58" i="1"/>
  <c r="I58" i="1" s="1"/>
  <c r="O57" i="1"/>
  <c r="I57" i="1" s="1"/>
  <c r="O56" i="1"/>
  <c r="I56" i="1" s="1"/>
  <c r="O55" i="1"/>
  <c r="I55" i="1" s="1"/>
  <c r="O54" i="1"/>
  <c r="I54" i="1" s="1"/>
  <c r="O53" i="1"/>
  <c r="I53" i="1" s="1"/>
  <c r="O52" i="1"/>
  <c r="I52" i="1" s="1"/>
  <c r="O51" i="1"/>
  <c r="I51" i="1" s="1"/>
  <c r="O50" i="1"/>
  <c r="I50" i="1" s="1"/>
  <c r="O49" i="1"/>
  <c r="I49" i="1" s="1"/>
  <c r="O48" i="1"/>
  <c r="I48" i="1" s="1"/>
  <c r="O47" i="1"/>
  <c r="I47" i="1" s="1"/>
  <c r="O46" i="1"/>
  <c r="I46" i="1" s="1"/>
  <c r="O45" i="1"/>
  <c r="I45" i="1" s="1"/>
  <c r="O44" i="1"/>
  <c r="I44" i="1" s="1"/>
  <c r="O43" i="1"/>
  <c r="I43" i="1" s="1"/>
  <c r="O42" i="1"/>
  <c r="I42" i="1" s="1"/>
  <c r="O41" i="1"/>
  <c r="I41" i="1" s="1"/>
  <c r="O40" i="1"/>
  <c r="I40" i="1" s="1"/>
  <c r="O39" i="1"/>
  <c r="I39" i="1" s="1"/>
  <c r="I38" i="1"/>
  <c r="O37" i="1"/>
  <c r="I37" i="1" s="1"/>
  <c r="O36" i="1"/>
  <c r="I36" i="1" s="1"/>
  <c r="I35" i="1"/>
  <c r="O34" i="1"/>
  <c r="I34" i="1" s="1"/>
  <c r="O33" i="1"/>
  <c r="I33" i="1" s="1"/>
  <c r="O32" i="1"/>
  <c r="I32" i="1" s="1"/>
  <c r="O31" i="1"/>
  <c r="I31" i="1" s="1"/>
  <c r="O30" i="1"/>
  <c r="I30" i="1" s="1"/>
  <c r="O29" i="1"/>
  <c r="I29" i="1" s="1"/>
  <c r="O28" i="1"/>
  <c r="I28" i="1" s="1"/>
  <c r="O27" i="1"/>
  <c r="I27" i="1" s="1"/>
  <c r="O25" i="1"/>
  <c r="I25" i="1" s="1"/>
  <c r="O24" i="1"/>
  <c r="I24" i="1" s="1"/>
  <c r="O23" i="1"/>
  <c r="I23" i="1" s="1"/>
  <c r="O22" i="1"/>
  <c r="I22" i="1" s="1"/>
  <c r="O21" i="1"/>
  <c r="I21" i="1" s="1"/>
  <c r="O20" i="1"/>
  <c r="I20" i="1" s="1"/>
  <c r="O19" i="1"/>
  <c r="I19" i="1" s="1"/>
  <c r="O18" i="1"/>
  <c r="I18" i="1" s="1"/>
  <c r="O17" i="1"/>
  <c r="I17" i="1" s="1"/>
  <c r="O16" i="1"/>
  <c r="I16" i="1" s="1"/>
  <c r="O15" i="1"/>
  <c r="I15" i="1" s="1"/>
  <c r="O14" i="1"/>
  <c r="I14" i="1" s="1"/>
  <c r="O13" i="1"/>
  <c r="I13" i="1" s="1"/>
  <c r="O12" i="1"/>
  <c r="I12" i="1" s="1"/>
  <c r="O11" i="1"/>
  <c r="I11" i="1" s="1"/>
  <c r="O10" i="1"/>
  <c r="I10" i="1" s="1"/>
  <c r="O9" i="1"/>
  <c r="I9" i="1" s="1"/>
  <c r="O8" i="1"/>
  <c r="I8" i="1" s="1"/>
  <c r="O7" i="1"/>
  <c r="I7" i="1" s="1"/>
  <c r="O6" i="1"/>
  <c r="I6" i="1" s="1"/>
  <c r="O5" i="1"/>
  <c r="I5" i="1" s="1"/>
  <c r="O4" i="1"/>
  <c r="I4" i="1" s="1"/>
  <c r="O3" i="1"/>
  <c r="I3" i="1" s="1"/>
  <c r="O2" i="1"/>
  <c r="I2" i="1" s="1"/>
  <c r="O26" i="1"/>
  <c r="I26" i="1" s="1"/>
  <c r="E241" i="1"/>
  <c r="E240" i="1"/>
  <c r="H240" i="1" s="1"/>
  <c r="E239" i="1"/>
  <c r="E238" i="1"/>
  <c r="E237" i="1"/>
  <c r="H237" i="1" s="1"/>
  <c r="E236" i="1"/>
  <c r="H236" i="1" s="1"/>
  <c r="E235" i="1"/>
  <c r="E234" i="1"/>
  <c r="E233" i="1"/>
  <c r="E232" i="1"/>
  <c r="H232" i="1" s="1"/>
  <c r="E231" i="1"/>
  <c r="E230" i="1"/>
  <c r="H230" i="1" s="1"/>
  <c r="E229" i="1"/>
  <c r="H229" i="1" s="1"/>
  <c r="E228" i="1"/>
  <c r="H228" i="1" s="1"/>
  <c r="E227" i="1"/>
  <c r="E226" i="1"/>
  <c r="E224" i="1"/>
  <c r="H224" i="1" s="1"/>
  <c r="E223" i="1"/>
  <c r="H223" i="1" s="1"/>
  <c r="E222" i="1"/>
  <c r="H222" i="1" s="1"/>
  <c r="E221" i="1"/>
  <c r="E220" i="1"/>
  <c r="H220" i="1" s="1"/>
  <c r="E219" i="1"/>
  <c r="H8" i="8" s="1"/>
  <c r="E218" i="1"/>
  <c r="E217" i="1"/>
  <c r="E216" i="1"/>
  <c r="H216" i="1" s="1"/>
  <c r="E215" i="1"/>
  <c r="E214" i="1"/>
  <c r="H214" i="1" s="1"/>
  <c r="E213" i="1"/>
  <c r="H213" i="1" s="1"/>
  <c r="E212" i="1"/>
  <c r="H212" i="1" s="1"/>
  <c r="E211" i="1"/>
  <c r="G19" i="9" s="1"/>
  <c r="E210" i="1"/>
  <c r="E209" i="1"/>
  <c r="E208" i="1"/>
  <c r="H208" i="1" s="1"/>
  <c r="E207" i="1"/>
  <c r="H207" i="1" s="1"/>
  <c r="E206" i="1"/>
  <c r="H206" i="1" s="1"/>
  <c r="E205" i="1"/>
  <c r="H205" i="1" s="1"/>
  <c r="E204" i="1"/>
  <c r="H204" i="1" s="1"/>
  <c r="E203" i="1"/>
  <c r="H203" i="1" s="1"/>
  <c r="G12" i="9" s="1"/>
  <c r="E202" i="1"/>
  <c r="H202" i="1" s="1"/>
  <c r="E201" i="1"/>
  <c r="E200" i="1"/>
  <c r="H200" i="1" s="1"/>
  <c r="E199" i="1"/>
  <c r="H199" i="1" s="1"/>
  <c r="E198" i="1"/>
  <c r="H198" i="1" s="1"/>
  <c r="E197" i="1"/>
  <c r="H197" i="1" s="1"/>
  <c r="E196" i="1"/>
  <c r="H196" i="1" s="1"/>
  <c r="E195" i="1"/>
  <c r="H195" i="1" s="1"/>
  <c r="E194" i="1"/>
  <c r="H194" i="1" s="1"/>
  <c r="E193" i="1"/>
  <c r="E192" i="1"/>
  <c r="H192" i="1" s="1"/>
  <c r="E191" i="1"/>
  <c r="H191" i="1" s="1"/>
  <c r="E190" i="1"/>
  <c r="H190" i="1" s="1"/>
  <c r="E189" i="1"/>
  <c r="H189" i="1" s="1"/>
  <c r="E188" i="1"/>
  <c r="H188" i="1" s="1"/>
  <c r="E187" i="1"/>
  <c r="H187" i="1" s="1"/>
  <c r="H4" i="8" s="1"/>
  <c r="E186" i="1"/>
  <c r="H186" i="1" s="1"/>
  <c r="E185" i="1"/>
  <c r="E184" i="1"/>
  <c r="H184" i="1" s="1"/>
  <c r="E183" i="1"/>
  <c r="H183" i="1" s="1"/>
  <c r="E182" i="1"/>
  <c r="H182" i="1" s="1"/>
  <c r="E181" i="1"/>
  <c r="H181" i="1" s="1"/>
  <c r="E180" i="1"/>
  <c r="H180" i="1" s="1"/>
  <c r="E179" i="1"/>
  <c r="H179" i="1" s="1"/>
  <c r="G3" i="9" s="1"/>
  <c r="E178" i="1"/>
  <c r="H178" i="1" s="1"/>
  <c r="E177" i="1"/>
  <c r="H177" i="1" s="1"/>
  <c r="E176" i="1"/>
  <c r="H176" i="1" s="1"/>
  <c r="E175" i="1"/>
  <c r="H175" i="1" s="1"/>
  <c r="E174" i="1"/>
  <c r="H174" i="1" s="1"/>
  <c r="E173" i="1"/>
  <c r="H173" i="1" s="1"/>
  <c r="E172" i="1"/>
  <c r="H172" i="1" s="1"/>
  <c r="E171" i="1"/>
  <c r="H171" i="1" s="1"/>
  <c r="E170" i="1"/>
  <c r="H170" i="1" s="1"/>
  <c r="E169" i="1"/>
  <c r="H169" i="1" s="1"/>
  <c r="E168" i="1"/>
  <c r="H168" i="1" s="1"/>
  <c r="E167" i="1"/>
  <c r="H167" i="1" s="1"/>
  <c r="E166" i="1"/>
  <c r="H166" i="1" s="1"/>
  <c r="E165" i="1"/>
  <c r="H165" i="1" s="1"/>
  <c r="E164" i="1"/>
  <c r="H164" i="1" s="1"/>
  <c r="E163" i="1"/>
  <c r="H163" i="1" s="1"/>
  <c r="E162" i="1"/>
  <c r="H162" i="1" s="1"/>
  <c r="E161" i="1"/>
  <c r="H161" i="1" s="1"/>
  <c r="E160" i="1"/>
  <c r="H160" i="1" s="1"/>
  <c r="E159" i="1"/>
  <c r="H159" i="1" s="1"/>
  <c r="E158" i="1"/>
  <c r="H158" i="1" s="1"/>
  <c r="E157" i="1"/>
  <c r="H157" i="1" s="1"/>
  <c r="E156" i="1"/>
  <c r="H156" i="1" s="1"/>
  <c r="E155" i="1"/>
  <c r="H155" i="1" s="1"/>
  <c r="E154" i="1"/>
  <c r="H154" i="1" s="1"/>
  <c r="E153" i="1"/>
  <c r="H153" i="1" s="1"/>
  <c r="E152" i="1"/>
  <c r="H152" i="1" s="1"/>
  <c r="E151" i="1"/>
  <c r="H151" i="1" s="1"/>
  <c r="E150" i="1"/>
  <c r="H150" i="1" s="1"/>
  <c r="E149" i="1"/>
  <c r="H149" i="1" s="1"/>
  <c r="E148" i="1"/>
  <c r="H148" i="1" s="1"/>
  <c r="E147" i="1"/>
  <c r="H147" i="1" s="1"/>
  <c r="E146" i="1"/>
  <c r="H146" i="1" s="1"/>
  <c r="E145" i="1"/>
  <c r="H145" i="1" s="1"/>
  <c r="G22" i="11" s="1"/>
  <c r="E144" i="1"/>
  <c r="H144" i="1" s="1"/>
  <c r="G21" i="11" s="1"/>
  <c r="E143" i="1"/>
  <c r="H143" i="1" s="1"/>
  <c r="G20" i="11" s="1"/>
  <c r="E142" i="1"/>
  <c r="H142" i="1" s="1"/>
  <c r="G19" i="11" s="1"/>
  <c r="E141" i="1"/>
  <c r="H141" i="1" s="1"/>
  <c r="G11" i="10" s="1"/>
  <c r="E140" i="1"/>
  <c r="H140" i="1" s="1"/>
  <c r="E139" i="1"/>
  <c r="H139" i="1" s="1"/>
  <c r="G38" i="9" s="1"/>
  <c r="E138" i="1"/>
  <c r="H138" i="1" s="1"/>
  <c r="E137" i="1"/>
  <c r="H137" i="1" s="1"/>
  <c r="G9" i="9" s="1"/>
  <c r="E136" i="1"/>
  <c r="H136" i="1" s="1"/>
  <c r="E135" i="1"/>
  <c r="H135" i="1" s="1"/>
  <c r="E134" i="1"/>
  <c r="H134" i="1" s="1"/>
  <c r="E133" i="1"/>
  <c r="H133" i="1" s="1"/>
  <c r="E132" i="1"/>
  <c r="H132" i="1" s="1"/>
  <c r="E131" i="1"/>
  <c r="H131" i="1" s="1"/>
  <c r="E130" i="1"/>
  <c r="H130" i="1" s="1"/>
  <c r="E129" i="1"/>
  <c r="H129" i="1" s="1"/>
  <c r="E128" i="1"/>
  <c r="H128" i="1" s="1"/>
  <c r="E127" i="1"/>
  <c r="H127" i="1" s="1"/>
  <c r="E126" i="1"/>
  <c r="H126" i="1" s="1"/>
  <c r="E125" i="1"/>
  <c r="H125" i="1" s="1"/>
  <c r="E124" i="1"/>
  <c r="H124" i="1" s="1"/>
  <c r="E123" i="1"/>
  <c r="H123" i="1" s="1"/>
  <c r="E122" i="1"/>
  <c r="H122" i="1" s="1"/>
  <c r="E121" i="1"/>
  <c r="H121" i="1" s="1"/>
  <c r="E120" i="1"/>
  <c r="H120" i="1" s="1"/>
  <c r="E119" i="1"/>
  <c r="H119" i="1" s="1"/>
  <c r="E118" i="1"/>
  <c r="H118" i="1" s="1"/>
  <c r="E117" i="1"/>
  <c r="H117" i="1" s="1"/>
  <c r="E116" i="1"/>
  <c r="H116" i="1" s="1"/>
  <c r="E115" i="1"/>
  <c r="H115" i="1" s="1"/>
  <c r="E114" i="1"/>
  <c r="H114" i="1" s="1"/>
  <c r="E113" i="1"/>
  <c r="H113" i="1" s="1"/>
  <c r="E112" i="1"/>
  <c r="H112" i="1" s="1"/>
  <c r="E110" i="1"/>
  <c r="H110" i="1" s="1"/>
  <c r="E109" i="1"/>
  <c r="H109" i="1" s="1"/>
  <c r="E108" i="1"/>
  <c r="H108" i="1" s="1"/>
  <c r="E107" i="1"/>
  <c r="H107" i="1" s="1"/>
  <c r="G4" i="10" s="1"/>
  <c r="E106" i="1"/>
  <c r="H106" i="1" s="1"/>
  <c r="E105" i="1"/>
  <c r="H105" i="1" s="1"/>
  <c r="E104" i="1"/>
  <c r="H104" i="1" s="1"/>
  <c r="E103" i="1"/>
  <c r="H103" i="1" s="1"/>
  <c r="E102" i="1"/>
  <c r="H102" i="1" s="1"/>
  <c r="E101" i="1"/>
  <c r="H101" i="1" s="1"/>
  <c r="E100" i="1"/>
  <c r="H100" i="1" s="1"/>
  <c r="E99" i="1"/>
  <c r="H99" i="1" s="1"/>
  <c r="E98" i="1"/>
  <c r="H98" i="1" s="1"/>
  <c r="G6" i="10" s="1"/>
  <c r="E97" i="1"/>
  <c r="H97" i="1" s="1"/>
  <c r="E96" i="1"/>
  <c r="H96" i="1" s="1"/>
  <c r="E95" i="1"/>
  <c r="H95" i="1" s="1"/>
  <c r="E94" i="1"/>
  <c r="H94" i="1" s="1"/>
  <c r="E93" i="1"/>
  <c r="H93" i="1" s="1"/>
  <c r="E92" i="1"/>
  <c r="H92" i="1" s="1"/>
  <c r="E91" i="1"/>
  <c r="H91" i="1" s="1"/>
  <c r="E90" i="1"/>
  <c r="H90" i="1" s="1"/>
  <c r="G3" i="10" s="1"/>
  <c r="E89" i="1"/>
  <c r="H89" i="1" s="1"/>
  <c r="E88" i="1"/>
  <c r="H88" i="1" s="1"/>
  <c r="E87" i="1"/>
  <c r="H87" i="1" s="1"/>
  <c r="G18" i="11" s="1"/>
  <c r="E86" i="1"/>
  <c r="H86" i="1" s="1"/>
  <c r="G17" i="11" s="1"/>
  <c r="E85" i="1"/>
  <c r="H85" i="1" s="1"/>
  <c r="G16" i="11" s="1"/>
  <c r="E84" i="1"/>
  <c r="H84" i="1" s="1"/>
  <c r="G15" i="11" s="1"/>
  <c r="E83" i="1"/>
  <c r="H83" i="1" s="1"/>
  <c r="E82" i="1"/>
  <c r="H82" i="1" s="1"/>
  <c r="E81" i="1"/>
  <c r="H81" i="1" s="1"/>
  <c r="E80" i="1"/>
  <c r="H80" i="1" s="1"/>
  <c r="E79" i="1"/>
  <c r="H79" i="1" s="1"/>
  <c r="E78" i="1"/>
  <c r="H78" i="1" s="1"/>
  <c r="E77" i="1"/>
  <c r="H77" i="1" s="1"/>
  <c r="E76" i="1"/>
  <c r="H76" i="1" s="1"/>
  <c r="E75" i="1"/>
  <c r="H75" i="1" s="1"/>
  <c r="E74" i="1"/>
  <c r="H74" i="1" s="1"/>
  <c r="E73" i="1"/>
  <c r="H73" i="1" s="1"/>
  <c r="E72" i="1"/>
  <c r="H72" i="1" s="1"/>
  <c r="E71" i="1"/>
  <c r="H71" i="1" s="1"/>
  <c r="E70" i="1"/>
  <c r="H70" i="1" s="1"/>
  <c r="E69" i="1"/>
  <c r="H69" i="1" s="1"/>
  <c r="E68" i="1"/>
  <c r="H68" i="1" s="1"/>
  <c r="E67" i="1"/>
  <c r="H67" i="1" s="1"/>
  <c r="E66" i="1"/>
  <c r="H66" i="1" s="1"/>
  <c r="E65" i="1"/>
  <c r="H65" i="1" s="1"/>
  <c r="E64" i="1"/>
  <c r="H64" i="1" s="1"/>
  <c r="E63" i="1"/>
  <c r="H63" i="1" s="1"/>
  <c r="E62" i="1"/>
  <c r="H62" i="1" s="1"/>
  <c r="E61" i="1"/>
  <c r="H61" i="1" s="1"/>
  <c r="E60" i="1"/>
  <c r="H60" i="1" s="1"/>
  <c r="E59" i="1"/>
  <c r="H59" i="1" s="1"/>
  <c r="E58" i="1"/>
  <c r="H58" i="1" s="1"/>
  <c r="E57" i="1"/>
  <c r="H57" i="1" s="1"/>
  <c r="E56" i="1"/>
  <c r="H56" i="1" s="1"/>
  <c r="E55" i="1"/>
  <c r="H55" i="1" s="1"/>
  <c r="E54" i="1"/>
  <c r="H54" i="1" s="1"/>
  <c r="E53" i="1"/>
  <c r="H53" i="1" s="1"/>
  <c r="E52" i="1"/>
  <c r="H52" i="1" s="1"/>
  <c r="E51" i="1"/>
  <c r="H51" i="1" s="1"/>
  <c r="E50" i="1"/>
  <c r="H50" i="1" s="1"/>
  <c r="E49" i="1"/>
  <c r="H49" i="1" s="1"/>
  <c r="E48" i="1"/>
  <c r="H48" i="1" s="1"/>
  <c r="E47" i="1"/>
  <c r="H47" i="1" s="1"/>
  <c r="E46" i="1"/>
  <c r="H46" i="1" s="1"/>
  <c r="E45" i="1"/>
  <c r="H45" i="1" s="1"/>
  <c r="E44" i="1"/>
  <c r="H44" i="1" s="1"/>
  <c r="E43" i="1"/>
  <c r="H43" i="1" s="1"/>
  <c r="E42" i="1"/>
  <c r="H42" i="1" s="1"/>
  <c r="E41" i="1"/>
  <c r="H41" i="1" s="1"/>
  <c r="E40" i="1"/>
  <c r="H40" i="1" s="1"/>
  <c r="E39" i="1"/>
  <c r="E38" i="1"/>
  <c r="H38" i="1" s="1"/>
  <c r="E37" i="1"/>
  <c r="H37" i="1" s="1"/>
  <c r="E36" i="1"/>
  <c r="H36" i="1" s="1"/>
  <c r="E35" i="1"/>
  <c r="H35" i="1" s="1"/>
  <c r="E34" i="1"/>
  <c r="H34" i="1" s="1"/>
  <c r="E33" i="1"/>
  <c r="H33" i="1" s="1"/>
  <c r="E32" i="1"/>
  <c r="H32" i="1" s="1"/>
  <c r="E31" i="1"/>
  <c r="H31" i="1" s="1"/>
  <c r="E30" i="1"/>
  <c r="H30" i="1" s="1"/>
  <c r="E29" i="1"/>
  <c r="H29" i="1" s="1"/>
  <c r="G14" i="11" s="1"/>
  <c r="E28" i="1"/>
  <c r="H28" i="1" s="1"/>
  <c r="G13" i="11" s="1"/>
  <c r="E27" i="1"/>
  <c r="H27" i="1" s="1"/>
  <c r="G12" i="11" s="1"/>
  <c r="E26" i="1"/>
  <c r="E25" i="1"/>
  <c r="H25" i="1" s="1"/>
  <c r="E24" i="1"/>
  <c r="H24" i="1" s="1"/>
  <c r="E23" i="1"/>
  <c r="H23" i="1" s="1"/>
  <c r="E22" i="1"/>
  <c r="H22" i="1" s="1"/>
  <c r="E21" i="1"/>
  <c r="H21" i="1" s="1"/>
  <c r="E20" i="1"/>
  <c r="H20" i="1" s="1"/>
  <c r="E19" i="1"/>
  <c r="H19" i="1" s="1"/>
  <c r="E18" i="1"/>
  <c r="H18" i="1" s="1"/>
  <c r="E17" i="1"/>
  <c r="H17" i="1" s="1"/>
  <c r="E16" i="1"/>
  <c r="H16" i="1" s="1"/>
  <c r="E15" i="1"/>
  <c r="H15" i="1" s="1"/>
  <c r="E14" i="1"/>
  <c r="H14" i="1" s="1"/>
  <c r="E13" i="1"/>
  <c r="H13" i="1" s="1"/>
  <c r="E12" i="1"/>
  <c r="H12" i="1" s="1"/>
  <c r="E11" i="1"/>
  <c r="H11" i="1" s="1"/>
  <c r="E10" i="1"/>
  <c r="H10" i="1" s="1"/>
  <c r="E9" i="1"/>
  <c r="H9" i="1" s="1"/>
  <c r="E8" i="1"/>
  <c r="H8" i="1" s="1"/>
  <c r="E7" i="1"/>
  <c r="H7" i="1" s="1"/>
  <c r="E6" i="1"/>
  <c r="H6" i="1" s="1"/>
  <c r="E5" i="1"/>
  <c r="H5" i="1" s="1"/>
  <c r="E4" i="1"/>
  <c r="H4" i="1" s="1"/>
  <c r="E3" i="1"/>
  <c r="H3" i="1" s="1"/>
  <c r="E2" i="1"/>
  <c r="H2" i="1" s="1"/>
  <c r="B23" i="11"/>
  <c r="K23" i="11" s="1"/>
  <c r="Y145" i="1"/>
  <c r="B22" i="11" s="1"/>
  <c r="J22" i="11" s="1"/>
  <c r="Y144" i="1"/>
  <c r="B21" i="11" s="1"/>
  <c r="K21" i="11" s="1"/>
  <c r="Y143" i="1"/>
  <c r="B20" i="11" s="1"/>
  <c r="K20" i="11" s="1"/>
  <c r="Y142" i="1"/>
  <c r="B19" i="11" s="1"/>
  <c r="J19" i="11" s="1"/>
  <c r="Y87" i="1"/>
  <c r="B18" i="11" s="1"/>
  <c r="L18" i="11" s="1"/>
  <c r="Y86" i="1"/>
  <c r="B17" i="11" s="1"/>
  <c r="C17" i="11" s="1"/>
  <c r="Y85" i="1"/>
  <c r="B16" i="11" s="1"/>
  <c r="K16" i="11" s="1"/>
  <c r="Y84" i="1"/>
  <c r="B15" i="11" s="1"/>
  <c r="C15" i="11" s="1"/>
  <c r="Y29" i="1"/>
  <c r="B14" i="11" s="1"/>
  <c r="L14" i="11" s="1"/>
  <c r="Y28" i="1"/>
  <c r="B13" i="11" s="1"/>
  <c r="J13" i="11" s="1"/>
  <c r="Y27" i="1"/>
  <c r="B12" i="11" s="1"/>
  <c r="Y26" i="1"/>
  <c r="B11" i="11" s="1"/>
  <c r="J11" i="11" s="1"/>
  <c r="Y241" i="1"/>
  <c r="B10" i="11" s="1"/>
  <c r="L10" i="11" s="1"/>
  <c r="Y233" i="1"/>
  <c r="B9" i="11" s="1"/>
  <c r="Y225" i="1"/>
  <c r="B8" i="11" s="1"/>
  <c r="L8" i="11" s="1"/>
  <c r="Y217" i="1"/>
  <c r="B7" i="11" s="1"/>
  <c r="C7" i="11" s="1"/>
  <c r="Y209" i="1"/>
  <c r="B6" i="11" s="1"/>
  <c r="L6" i="11" s="1"/>
  <c r="Y201" i="1"/>
  <c r="B5" i="11" s="1"/>
  <c r="J5" i="11" s="1"/>
  <c r="Y193" i="1"/>
  <c r="B4" i="11" s="1"/>
  <c r="Y185" i="1"/>
  <c r="B3" i="11" s="1"/>
  <c r="J3" i="11" s="1"/>
  <c r="B2" i="11"/>
  <c r="K2" i="11" s="1"/>
  <c r="B25" i="11"/>
  <c r="I25" i="11" s="1"/>
  <c r="B24" i="11"/>
  <c r="I24" i="11" s="1"/>
  <c r="Y141" i="1"/>
  <c r="B11" i="10" s="1"/>
  <c r="C11" i="10" s="1"/>
  <c r="B10" i="10"/>
  <c r="C10" i="10" s="1"/>
  <c r="Y111" i="1"/>
  <c r="B9" i="10" s="1"/>
  <c r="C9" i="10" s="1"/>
  <c r="B8" i="10"/>
  <c r="C8" i="10" s="1"/>
  <c r="Y98" i="1"/>
  <c r="B6" i="10" s="1"/>
  <c r="C6" i="10" s="1"/>
  <c r="B5" i="10"/>
  <c r="C5" i="10" s="1"/>
  <c r="Y107" i="1"/>
  <c r="B4" i="10" s="1"/>
  <c r="C4" i="10" s="1"/>
  <c r="Y90" i="1"/>
  <c r="B3" i="10" s="1"/>
  <c r="C3" i="10" s="1"/>
  <c r="B2" i="10"/>
  <c r="C2" i="10" s="1"/>
  <c r="G26" i="11"/>
  <c r="F26" i="11"/>
  <c r="E26" i="11"/>
  <c r="G25" i="11"/>
  <c r="F25" i="11"/>
  <c r="E25" i="11"/>
  <c r="G24" i="11"/>
  <c r="F24" i="11"/>
  <c r="E24" i="11"/>
  <c r="G23" i="11"/>
  <c r="F23" i="11"/>
  <c r="E23" i="11"/>
  <c r="F22" i="11"/>
  <c r="E22" i="11"/>
  <c r="F21" i="11"/>
  <c r="E21" i="11"/>
  <c r="F20" i="11"/>
  <c r="E20" i="11"/>
  <c r="F19" i="11"/>
  <c r="E19" i="11"/>
  <c r="F18" i="11"/>
  <c r="E18" i="11"/>
  <c r="F17" i="11"/>
  <c r="E17" i="11"/>
  <c r="F16" i="11"/>
  <c r="E16" i="11"/>
  <c r="F15" i="11"/>
  <c r="E15" i="11"/>
  <c r="F14" i="11"/>
  <c r="E14" i="11"/>
  <c r="F13" i="11"/>
  <c r="E13" i="11"/>
  <c r="F12" i="11"/>
  <c r="E12" i="11"/>
  <c r="F11" i="11"/>
  <c r="E11" i="11"/>
  <c r="F10" i="11"/>
  <c r="E10" i="11"/>
  <c r="F9" i="11"/>
  <c r="E9" i="11"/>
  <c r="F8" i="11"/>
  <c r="E8" i="11"/>
  <c r="F7" i="11"/>
  <c r="E7" i="11"/>
  <c r="F6" i="11"/>
  <c r="E6" i="11"/>
  <c r="F5" i="11"/>
  <c r="E5" i="11"/>
  <c r="F4" i="11"/>
  <c r="E4" i="11"/>
  <c r="F3" i="11"/>
  <c r="E3" i="11"/>
  <c r="G2" i="11"/>
  <c r="F2" i="11"/>
  <c r="E2" i="11"/>
  <c r="B26" i="11"/>
  <c r="C26" i="11" s="1"/>
  <c r="B12" i="10"/>
  <c r="I12" i="10"/>
  <c r="I11" i="10"/>
  <c r="I10" i="10"/>
  <c r="I8" i="10"/>
  <c r="I9" i="10"/>
  <c r="I6" i="10"/>
  <c r="I5" i="10"/>
  <c r="I4" i="10"/>
  <c r="I2" i="10"/>
  <c r="H12" i="10"/>
  <c r="H11" i="10"/>
  <c r="H10" i="10"/>
  <c r="H8" i="10"/>
  <c r="H9" i="10"/>
  <c r="H6" i="10"/>
  <c r="H5" i="10"/>
  <c r="H4" i="10"/>
  <c r="H2" i="10"/>
  <c r="G12" i="10"/>
  <c r="F12" i="10"/>
  <c r="E12" i="10"/>
  <c r="F11" i="10"/>
  <c r="E11" i="10"/>
  <c r="G10" i="10"/>
  <c r="F10" i="10"/>
  <c r="E10" i="10"/>
  <c r="G8" i="10"/>
  <c r="F8" i="10"/>
  <c r="E8" i="10"/>
  <c r="F9" i="10"/>
  <c r="E9" i="10"/>
  <c r="F6" i="10"/>
  <c r="E6" i="10"/>
  <c r="G5" i="10"/>
  <c r="F5" i="10"/>
  <c r="E5" i="10"/>
  <c r="F4" i="10"/>
  <c r="E4" i="10"/>
  <c r="G2" i="10"/>
  <c r="F2" i="10"/>
  <c r="E2" i="10"/>
  <c r="F14" i="10"/>
  <c r="E16" i="10"/>
  <c r="E15" i="10"/>
  <c r="E14" i="10"/>
  <c r="Q43" i="9"/>
  <c r="P43" i="9"/>
  <c r="O43" i="9"/>
  <c r="N43" i="9"/>
  <c r="M43" i="9"/>
  <c r="L43" i="9"/>
  <c r="K43" i="9"/>
  <c r="J43" i="9"/>
  <c r="I43" i="9"/>
  <c r="H43" i="9"/>
  <c r="G43" i="9"/>
  <c r="F43" i="9"/>
  <c r="E43" i="9"/>
  <c r="Q42" i="9"/>
  <c r="P42" i="9"/>
  <c r="O42" i="9"/>
  <c r="N42" i="9"/>
  <c r="M42" i="9"/>
  <c r="L42" i="9"/>
  <c r="K42" i="9"/>
  <c r="J42" i="9"/>
  <c r="I42" i="9"/>
  <c r="H42" i="9"/>
  <c r="G42" i="9"/>
  <c r="F42" i="9"/>
  <c r="E42" i="9"/>
  <c r="Q41" i="9"/>
  <c r="P41" i="9"/>
  <c r="O41" i="9"/>
  <c r="N41" i="9"/>
  <c r="M41" i="9"/>
  <c r="L41" i="9"/>
  <c r="K41" i="9"/>
  <c r="J41" i="9"/>
  <c r="I41" i="9"/>
  <c r="H41" i="9"/>
  <c r="G41" i="9"/>
  <c r="F41" i="9"/>
  <c r="E41" i="9"/>
  <c r="Q40" i="9"/>
  <c r="P40" i="9"/>
  <c r="O40" i="9"/>
  <c r="N40" i="9"/>
  <c r="M40" i="9"/>
  <c r="L40" i="9"/>
  <c r="K40" i="9"/>
  <c r="J40" i="9"/>
  <c r="I40" i="9"/>
  <c r="H40" i="9"/>
  <c r="G40" i="9"/>
  <c r="F40" i="9"/>
  <c r="E40" i="9"/>
  <c r="Q39" i="9"/>
  <c r="P39" i="9"/>
  <c r="O39" i="9"/>
  <c r="N39" i="9"/>
  <c r="M39" i="9"/>
  <c r="L39" i="9"/>
  <c r="K39" i="9"/>
  <c r="J39" i="9"/>
  <c r="I39" i="9"/>
  <c r="H39" i="9"/>
  <c r="G39" i="9"/>
  <c r="F39" i="9"/>
  <c r="E39" i="9"/>
  <c r="Q38" i="9"/>
  <c r="P38" i="9"/>
  <c r="O38" i="9"/>
  <c r="N38" i="9"/>
  <c r="M38" i="9"/>
  <c r="L38" i="9"/>
  <c r="K38" i="9"/>
  <c r="J38" i="9"/>
  <c r="I38" i="9"/>
  <c r="H38" i="9"/>
  <c r="F38" i="9"/>
  <c r="E38" i="9"/>
  <c r="Q37" i="9"/>
  <c r="P37" i="9"/>
  <c r="O37" i="9"/>
  <c r="N37" i="9"/>
  <c r="M37" i="9"/>
  <c r="L37" i="9"/>
  <c r="K37" i="9"/>
  <c r="J37" i="9"/>
  <c r="I37" i="9"/>
  <c r="H37" i="9"/>
  <c r="F37" i="9"/>
  <c r="E37" i="9"/>
  <c r="Q36" i="9"/>
  <c r="P36" i="9"/>
  <c r="O36" i="9"/>
  <c r="N36" i="9"/>
  <c r="M36" i="9"/>
  <c r="L36" i="9"/>
  <c r="K36" i="9"/>
  <c r="J36" i="9"/>
  <c r="I36" i="9"/>
  <c r="H36" i="9"/>
  <c r="F36" i="9"/>
  <c r="E36" i="9"/>
  <c r="Q35" i="9"/>
  <c r="P35" i="9"/>
  <c r="O35" i="9"/>
  <c r="N35" i="9"/>
  <c r="M35" i="9"/>
  <c r="L35" i="9"/>
  <c r="K35" i="9"/>
  <c r="J35" i="9"/>
  <c r="I35" i="9"/>
  <c r="H35" i="9"/>
  <c r="F35" i="9"/>
  <c r="E35" i="9"/>
  <c r="Q34" i="9"/>
  <c r="P34" i="9"/>
  <c r="O34" i="9"/>
  <c r="N34" i="9"/>
  <c r="M34" i="9"/>
  <c r="L34" i="9"/>
  <c r="K34" i="9"/>
  <c r="J34" i="9"/>
  <c r="I34" i="9"/>
  <c r="H34" i="9"/>
  <c r="F34" i="9"/>
  <c r="E34" i="9"/>
  <c r="Q33" i="9"/>
  <c r="P33" i="9"/>
  <c r="O33" i="9"/>
  <c r="N33" i="9"/>
  <c r="M33" i="9"/>
  <c r="L33" i="9"/>
  <c r="K33" i="9"/>
  <c r="J33" i="9"/>
  <c r="I33" i="9"/>
  <c r="H33" i="9"/>
  <c r="G33" i="9"/>
  <c r="F33" i="9"/>
  <c r="E33" i="9"/>
  <c r="Q32" i="9"/>
  <c r="P32" i="9"/>
  <c r="O32" i="9"/>
  <c r="N32" i="9"/>
  <c r="M32" i="9"/>
  <c r="L32" i="9"/>
  <c r="K32" i="9"/>
  <c r="J32" i="9"/>
  <c r="I32" i="9"/>
  <c r="H32" i="9"/>
  <c r="F32" i="9"/>
  <c r="E32" i="9"/>
  <c r="Q31" i="9"/>
  <c r="P31" i="9"/>
  <c r="O31" i="9"/>
  <c r="N31" i="9"/>
  <c r="M31" i="9"/>
  <c r="L31" i="9"/>
  <c r="K31" i="9"/>
  <c r="J31" i="9"/>
  <c r="I31" i="9"/>
  <c r="H31" i="9"/>
  <c r="F31" i="9"/>
  <c r="E31" i="9"/>
  <c r="Q30" i="9"/>
  <c r="P30" i="9"/>
  <c r="O30" i="9"/>
  <c r="N30" i="9"/>
  <c r="M30" i="9"/>
  <c r="L30" i="9"/>
  <c r="K30" i="9"/>
  <c r="J30" i="9"/>
  <c r="I30" i="9"/>
  <c r="H30" i="9"/>
  <c r="F30" i="9"/>
  <c r="E30" i="9"/>
  <c r="Q29" i="9"/>
  <c r="P29" i="9"/>
  <c r="O29" i="9"/>
  <c r="N29" i="9"/>
  <c r="M29" i="9"/>
  <c r="L29" i="9"/>
  <c r="K29" i="9"/>
  <c r="J29" i="9"/>
  <c r="I29" i="9"/>
  <c r="H29" i="9"/>
  <c r="F29" i="9"/>
  <c r="E29" i="9"/>
  <c r="Q28" i="9"/>
  <c r="P28" i="9"/>
  <c r="O28" i="9"/>
  <c r="N28" i="9"/>
  <c r="M28" i="9"/>
  <c r="L28" i="9"/>
  <c r="K28" i="9"/>
  <c r="J28" i="9"/>
  <c r="I28" i="9"/>
  <c r="H28" i="9"/>
  <c r="F28" i="9"/>
  <c r="E28" i="9"/>
  <c r="Q27" i="9"/>
  <c r="P27" i="9"/>
  <c r="O27" i="9"/>
  <c r="N27" i="9"/>
  <c r="M27" i="9"/>
  <c r="L27" i="9"/>
  <c r="K27" i="9"/>
  <c r="J27" i="9"/>
  <c r="I27" i="9"/>
  <c r="H27" i="9"/>
  <c r="G27" i="9"/>
  <c r="F27" i="9"/>
  <c r="E27" i="9"/>
  <c r="Q26" i="9"/>
  <c r="P26" i="9"/>
  <c r="O26" i="9"/>
  <c r="N26" i="9"/>
  <c r="M26" i="9"/>
  <c r="L26" i="9"/>
  <c r="K26" i="9"/>
  <c r="J26" i="9"/>
  <c r="I26" i="9"/>
  <c r="H26" i="9"/>
  <c r="F26" i="9"/>
  <c r="E26" i="9"/>
  <c r="Q25" i="9"/>
  <c r="P25" i="9"/>
  <c r="O25" i="9"/>
  <c r="N25" i="9"/>
  <c r="M25" i="9"/>
  <c r="L25" i="9"/>
  <c r="K25" i="9"/>
  <c r="J25" i="9"/>
  <c r="I25" i="9"/>
  <c r="H25" i="9"/>
  <c r="F25" i="9"/>
  <c r="E25" i="9"/>
  <c r="Q24" i="9"/>
  <c r="P24" i="9"/>
  <c r="O24" i="9"/>
  <c r="N24" i="9"/>
  <c r="M24" i="9"/>
  <c r="L24" i="9"/>
  <c r="K24" i="9"/>
  <c r="J24" i="9"/>
  <c r="I24" i="9"/>
  <c r="H24" i="9"/>
  <c r="F24" i="9"/>
  <c r="E24" i="9"/>
  <c r="Q23" i="9"/>
  <c r="P23" i="9"/>
  <c r="O23" i="9"/>
  <c r="N23" i="9"/>
  <c r="M23" i="9"/>
  <c r="L23" i="9"/>
  <c r="K23" i="9"/>
  <c r="J23" i="9"/>
  <c r="I23" i="9"/>
  <c r="H23" i="9"/>
  <c r="F23" i="9"/>
  <c r="E23" i="9"/>
  <c r="Q22" i="9"/>
  <c r="P22" i="9"/>
  <c r="O22" i="9"/>
  <c r="N22" i="9"/>
  <c r="M22" i="9"/>
  <c r="L22" i="9"/>
  <c r="K22" i="9"/>
  <c r="J22" i="9"/>
  <c r="I22" i="9"/>
  <c r="H22" i="9"/>
  <c r="F22" i="9"/>
  <c r="E22" i="9"/>
  <c r="Q21" i="9"/>
  <c r="P21" i="9"/>
  <c r="O21" i="9"/>
  <c r="N21" i="9"/>
  <c r="M21" i="9"/>
  <c r="L21" i="9"/>
  <c r="K21" i="9"/>
  <c r="J21" i="9"/>
  <c r="I21" i="9"/>
  <c r="H21" i="9"/>
  <c r="F21" i="9"/>
  <c r="E21" i="9"/>
  <c r="Q20" i="9"/>
  <c r="P20" i="9"/>
  <c r="O20" i="9"/>
  <c r="N20" i="9"/>
  <c r="M20" i="9"/>
  <c r="L20" i="9"/>
  <c r="K20" i="9"/>
  <c r="J20" i="9"/>
  <c r="I20" i="9"/>
  <c r="H20" i="9"/>
  <c r="F20" i="9"/>
  <c r="E20" i="9"/>
  <c r="Q19" i="9"/>
  <c r="P19" i="9"/>
  <c r="O19" i="9"/>
  <c r="N19" i="9"/>
  <c r="M19" i="9"/>
  <c r="L19" i="9"/>
  <c r="K19" i="9"/>
  <c r="J19" i="9"/>
  <c r="I19" i="9"/>
  <c r="H19" i="9"/>
  <c r="F19" i="9"/>
  <c r="E19" i="9"/>
  <c r="Q18" i="9"/>
  <c r="P18" i="9"/>
  <c r="O18" i="9"/>
  <c r="N18" i="9"/>
  <c r="M18" i="9"/>
  <c r="L18" i="9"/>
  <c r="K18" i="9"/>
  <c r="J18" i="9"/>
  <c r="I18" i="9"/>
  <c r="H18" i="9"/>
  <c r="G18" i="9"/>
  <c r="F18" i="9"/>
  <c r="E18" i="9"/>
  <c r="Q17" i="9"/>
  <c r="P17" i="9"/>
  <c r="O17" i="9"/>
  <c r="N17" i="9"/>
  <c r="M17" i="9"/>
  <c r="L17" i="9"/>
  <c r="K17" i="9"/>
  <c r="J17" i="9"/>
  <c r="I17" i="9"/>
  <c r="H17" i="9"/>
  <c r="F17" i="9"/>
  <c r="E17" i="9"/>
  <c r="Q16" i="9"/>
  <c r="P16" i="9"/>
  <c r="O16" i="9"/>
  <c r="N16" i="9"/>
  <c r="M16" i="9"/>
  <c r="L16" i="9"/>
  <c r="K16" i="9"/>
  <c r="J16" i="9"/>
  <c r="I16" i="9"/>
  <c r="H16" i="9"/>
  <c r="F16" i="9"/>
  <c r="E16" i="9"/>
  <c r="Q15" i="9"/>
  <c r="P15" i="9"/>
  <c r="O15" i="9"/>
  <c r="N15" i="9"/>
  <c r="M15" i="9"/>
  <c r="L15" i="9"/>
  <c r="K15" i="9"/>
  <c r="J15" i="9"/>
  <c r="I15" i="9"/>
  <c r="H15" i="9"/>
  <c r="F15" i="9"/>
  <c r="E15" i="9"/>
  <c r="Q14" i="9"/>
  <c r="P14" i="9"/>
  <c r="O14" i="9"/>
  <c r="N14" i="9"/>
  <c r="M14" i="9"/>
  <c r="L14" i="9"/>
  <c r="K14" i="9"/>
  <c r="J14" i="9"/>
  <c r="I14" i="9"/>
  <c r="H14" i="9"/>
  <c r="F14" i="9"/>
  <c r="E14" i="9"/>
  <c r="Q13" i="9"/>
  <c r="P13" i="9"/>
  <c r="O13" i="9"/>
  <c r="N13" i="9"/>
  <c r="M13" i="9"/>
  <c r="L13" i="9"/>
  <c r="K13" i="9"/>
  <c r="J13" i="9"/>
  <c r="I13" i="9"/>
  <c r="H13" i="9"/>
  <c r="F13" i="9"/>
  <c r="E13" i="9"/>
  <c r="Q12" i="9"/>
  <c r="P12" i="9"/>
  <c r="O12" i="9"/>
  <c r="N12" i="9"/>
  <c r="M12" i="9"/>
  <c r="L12" i="9"/>
  <c r="K12" i="9"/>
  <c r="J12" i="9"/>
  <c r="I12" i="9"/>
  <c r="H12" i="9"/>
  <c r="F12" i="9"/>
  <c r="E12" i="9"/>
  <c r="Q11" i="9"/>
  <c r="P11" i="9"/>
  <c r="O11" i="9"/>
  <c r="N11" i="9"/>
  <c r="M11" i="9"/>
  <c r="L11" i="9"/>
  <c r="K11" i="9"/>
  <c r="J11" i="9"/>
  <c r="I11" i="9"/>
  <c r="H11" i="9"/>
  <c r="F11" i="9"/>
  <c r="E11" i="9"/>
  <c r="Q10" i="9"/>
  <c r="P10" i="9"/>
  <c r="O10" i="9"/>
  <c r="N10" i="9"/>
  <c r="M10" i="9"/>
  <c r="L10" i="9"/>
  <c r="K10" i="9"/>
  <c r="J10" i="9"/>
  <c r="I10" i="9"/>
  <c r="H10" i="9"/>
  <c r="G10" i="9"/>
  <c r="F10" i="9"/>
  <c r="E10" i="9"/>
  <c r="Q9" i="9"/>
  <c r="P9" i="9"/>
  <c r="O9" i="9"/>
  <c r="N9" i="9"/>
  <c r="M9" i="9"/>
  <c r="L9" i="9"/>
  <c r="K9" i="9"/>
  <c r="J9" i="9"/>
  <c r="I9" i="9"/>
  <c r="H9" i="9"/>
  <c r="F9" i="9"/>
  <c r="E9" i="9"/>
  <c r="Q8" i="9"/>
  <c r="P8" i="9"/>
  <c r="O8" i="9"/>
  <c r="N8" i="9"/>
  <c r="M8" i="9"/>
  <c r="L8" i="9"/>
  <c r="K8" i="9"/>
  <c r="J8" i="9"/>
  <c r="I8" i="9"/>
  <c r="H8" i="9"/>
  <c r="F8" i="9"/>
  <c r="E8" i="9"/>
  <c r="Q7" i="9"/>
  <c r="P7" i="9"/>
  <c r="O7" i="9"/>
  <c r="N7" i="9"/>
  <c r="M7" i="9"/>
  <c r="L7" i="9"/>
  <c r="K7" i="9"/>
  <c r="J7" i="9"/>
  <c r="I7" i="9"/>
  <c r="H7" i="9"/>
  <c r="F7" i="9"/>
  <c r="E7" i="9"/>
  <c r="Q6" i="9"/>
  <c r="P6" i="9"/>
  <c r="O6" i="9"/>
  <c r="N6" i="9"/>
  <c r="M6" i="9"/>
  <c r="L6" i="9"/>
  <c r="K6" i="9"/>
  <c r="J6" i="9"/>
  <c r="I6" i="9"/>
  <c r="H6" i="9"/>
  <c r="F6" i="9"/>
  <c r="E6" i="9"/>
  <c r="Q5" i="9"/>
  <c r="P5" i="9"/>
  <c r="O5" i="9"/>
  <c r="N5" i="9"/>
  <c r="M5" i="9"/>
  <c r="L5" i="9"/>
  <c r="K5" i="9"/>
  <c r="J5" i="9"/>
  <c r="I5" i="9"/>
  <c r="H5" i="9"/>
  <c r="F5" i="9"/>
  <c r="E5" i="9"/>
  <c r="Q4" i="9"/>
  <c r="P4" i="9"/>
  <c r="O4" i="9"/>
  <c r="N4" i="9"/>
  <c r="M4" i="9"/>
  <c r="L4" i="9"/>
  <c r="K4" i="9"/>
  <c r="J4" i="9"/>
  <c r="I4" i="9"/>
  <c r="H4" i="9"/>
  <c r="F4" i="9"/>
  <c r="E4" i="9"/>
  <c r="Q3" i="9"/>
  <c r="P3" i="9"/>
  <c r="O3" i="9"/>
  <c r="N3" i="9"/>
  <c r="M3" i="9"/>
  <c r="L3" i="9"/>
  <c r="K3" i="9"/>
  <c r="J3" i="9"/>
  <c r="I3" i="9"/>
  <c r="H3" i="9"/>
  <c r="F3" i="9"/>
  <c r="E3" i="9"/>
  <c r="Q2" i="9"/>
  <c r="P2" i="9"/>
  <c r="O2" i="9"/>
  <c r="N2" i="9"/>
  <c r="M2" i="9"/>
  <c r="L2" i="9"/>
  <c r="K2" i="9"/>
  <c r="J2" i="9"/>
  <c r="I2" i="9"/>
  <c r="H2" i="9"/>
  <c r="G2" i="9"/>
  <c r="F2" i="9"/>
  <c r="E2" i="9"/>
  <c r="B40" i="9"/>
  <c r="C40" i="9" s="1"/>
  <c r="B39" i="9"/>
  <c r="C39" i="9" s="1"/>
  <c r="Y139" i="1"/>
  <c r="B38" i="9" s="1"/>
  <c r="C38" i="9" s="1"/>
  <c r="Y132" i="1"/>
  <c r="C34" i="8" s="1"/>
  <c r="D34" i="8" s="1"/>
  <c r="Y130" i="1"/>
  <c r="B36" i="9" s="1"/>
  <c r="C36" i="9" s="1"/>
  <c r="Y24" i="1"/>
  <c r="Y235" i="1"/>
  <c r="B34" i="9" s="1"/>
  <c r="C34" i="9" s="1"/>
  <c r="B33" i="9"/>
  <c r="C33" i="9" s="1"/>
  <c r="Y79" i="1"/>
  <c r="Y75" i="1"/>
  <c r="B31" i="9" s="1"/>
  <c r="C31" i="9" s="1"/>
  <c r="Y72" i="1"/>
  <c r="C24" i="8" s="1"/>
  <c r="D24" i="8" s="1"/>
  <c r="Y12" i="1"/>
  <c r="C15" i="8" s="1"/>
  <c r="D15" i="8" s="1"/>
  <c r="Y227" i="1"/>
  <c r="B28" i="9" s="1"/>
  <c r="C28" i="9" s="1"/>
  <c r="B27" i="9"/>
  <c r="C27" i="9" s="1"/>
  <c r="Y133" i="1"/>
  <c r="B26" i="9" s="1"/>
  <c r="C26" i="9" s="1"/>
  <c r="Y83" i="1"/>
  <c r="B25" i="9" s="1"/>
  <c r="C25" i="9" s="1"/>
  <c r="Y69" i="1"/>
  <c r="C23" i="8" s="1"/>
  <c r="D23" i="8" s="1"/>
  <c r="Y21" i="1"/>
  <c r="B23" i="9" s="1"/>
  <c r="C23" i="9" s="1"/>
  <c r="Y15" i="1"/>
  <c r="B22" i="9" s="1"/>
  <c r="C22" i="9" s="1"/>
  <c r="Y9" i="1"/>
  <c r="Y219" i="1"/>
  <c r="C8" i="8" s="1"/>
  <c r="D8" i="8" s="1"/>
  <c r="Y211" i="1"/>
  <c r="C7" i="8" s="1"/>
  <c r="D7" i="8" s="1"/>
  <c r="B18" i="9"/>
  <c r="C18" i="9" s="1"/>
  <c r="Y127" i="1"/>
  <c r="C32" i="8" s="1"/>
  <c r="D32" i="8" s="1"/>
  <c r="Y124" i="1"/>
  <c r="C31" i="8" s="1"/>
  <c r="D31" i="8" s="1"/>
  <c r="Y74" i="1"/>
  <c r="B15" i="9" s="1"/>
  <c r="C15" i="9" s="1"/>
  <c r="Y66" i="1"/>
  <c r="B14" i="9" s="1"/>
  <c r="C14" i="9" s="1"/>
  <c r="Y6" i="1"/>
  <c r="B13" i="9" s="1"/>
  <c r="C13" i="9" s="1"/>
  <c r="Y203" i="1"/>
  <c r="B12" i="9" s="1"/>
  <c r="C12" i="9" s="1"/>
  <c r="Y195" i="1"/>
  <c r="C5" i="8" s="1"/>
  <c r="D5" i="8" s="1"/>
  <c r="B10" i="9"/>
  <c r="C10" i="9" s="1"/>
  <c r="Y137" i="1"/>
  <c r="B9" i="9" s="1"/>
  <c r="C9" i="9" s="1"/>
  <c r="Y121" i="1"/>
  <c r="C30" i="8" s="1"/>
  <c r="D30" i="8" s="1"/>
  <c r="Y63" i="1"/>
  <c r="B7" i="9" s="1"/>
  <c r="C7" i="9" s="1"/>
  <c r="Y18" i="1"/>
  <c r="B6" i="9" s="1"/>
  <c r="C6" i="9" s="1"/>
  <c r="Y3" i="1"/>
  <c r="C12" i="8" s="1"/>
  <c r="D12" i="8" s="1"/>
  <c r="Y187" i="1"/>
  <c r="C4" i="8" s="1"/>
  <c r="D4" i="8" s="1"/>
  <c r="Y179" i="1"/>
  <c r="B3" i="9" s="1"/>
  <c r="C3" i="9" s="1"/>
  <c r="B2" i="9"/>
  <c r="C2" i="9" s="1"/>
  <c r="D42" i="8"/>
  <c r="D41" i="8"/>
  <c r="D40" i="8"/>
  <c r="C39" i="8"/>
  <c r="D39" i="8" s="1"/>
  <c r="C38" i="8"/>
  <c r="D38" i="8" s="1"/>
  <c r="C29" i="8"/>
  <c r="D29" i="8" s="1"/>
  <c r="C20" i="8"/>
  <c r="D20" i="8" s="1"/>
  <c r="C11" i="8"/>
  <c r="D11" i="8" s="1"/>
  <c r="C2" i="8"/>
  <c r="D2" i="8" s="1"/>
  <c r="R40" i="8"/>
  <c r="Q40" i="8"/>
  <c r="P40" i="8"/>
  <c r="O40" i="8"/>
  <c r="N40" i="8"/>
  <c r="M40" i="8"/>
  <c r="L40" i="8"/>
  <c r="K40" i="8"/>
  <c r="R39" i="8"/>
  <c r="Q39" i="8"/>
  <c r="P39" i="8"/>
  <c r="O39" i="8"/>
  <c r="N39" i="8"/>
  <c r="M39" i="8"/>
  <c r="L39" i="8"/>
  <c r="K39" i="8"/>
  <c r="R38" i="8"/>
  <c r="Q38" i="8"/>
  <c r="P38" i="8"/>
  <c r="O38" i="8"/>
  <c r="N38" i="8"/>
  <c r="M38" i="8"/>
  <c r="L38" i="8"/>
  <c r="K38" i="8"/>
  <c r="R37" i="8"/>
  <c r="Q37" i="8"/>
  <c r="P37" i="8"/>
  <c r="O37" i="8"/>
  <c r="N37" i="8"/>
  <c r="M37" i="8"/>
  <c r="L37" i="8"/>
  <c r="K37" i="8"/>
  <c r="R36" i="8"/>
  <c r="Q36" i="8"/>
  <c r="P36" i="8"/>
  <c r="O36" i="8"/>
  <c r="N36" i="8"/>
  <c r="M36" i="8"/>
  <c r="L36" i="8"/>
  <c r="K36" i="8"/>
  <c r="R35" i="8"/>
  <c r="Q35" i="8"/>
  <c r="P35" i="8"/>
  <c r="O35" i="8"/>
  <c r="N35" i="8"/>
  <c r="M35" i="8"/>
  <c r="L35" i="8"/>
  <c r="K35" i="8"/>
  <c r="R34" i="8"/>
  <c r="Q34" i="8"/>
  <c r="P34" i="8"/>
  <c r="O34" i="8"/>
  <c r="N34" i="8"/>
  <c r="M34" i="8"/>
  <c r="L34" i="8"/>
  <c r="K34" i="8"/>
  <c r="R33" i="8"/>
  <c r="Q33" i="8"/>
  <c r="P33" i="8"/>
  <c r="O33" i="8"/>
  <c r="N33" i="8"/>
  <c r="M33" i="8"/>
  <c r="L33" i="8"/>
  <c r="K33" i="8"/>
  <c r="R32" i="8"/>
  <c r="Q32" i="8"/>
  <c r="P32" i="8"/>
  <c r="O32" i="8"/>
  <c r="N32" i="8"/>
  <c r="M32" i="8"/>
  <c r="L32" i="8"/>
  <c r="K32" i="8"/>
  <c r="R31" i="8"/>
  <c r="Q31" i="8"/>
  <c r="P31" i="8"/>
  <c r="O31" i="8"/>
  <c r="N31" i="8"/>
  <c r="M31" i="8"/>
  <c r="L31" i="8"/>
  <c r="K31" i="8"/>
  <c r="R30" i="8"/>
  <c r="Q30" i="8"/>
  <c r="P30" i="8"/>
  <c r="O30" i="8"/>
  <c r="N30" i="8"/>
  <c r="M30" i="8"/>
  <c r="L30" i="8"/>
  <c r="K30" i="8"/>
  <c r="R29" i="8"/>
  <c r="Q29" i="8"/>
  <c r="P29" i="8"/>
  <c r="O29" i="8"/>
  <c r="N29" i="8"/>
  <c r="M29" i="8"/>
  <c r="L29" i="8"/>
  <c r="K29" i="8"/>
  <c r="R28" i="8"/>
  <c r="Q28" i="8"/>
  <c r="P28" i="8"/>
  <c r="O28" i="8"/>
  <c r="N28" i="8"/>
  <c r="M28" i="8"/>
  <c r="L28" i="8"/>
  <c r="K28" i="8"/>
  <c r="R27" i="8"/>
  <c r="Q27" i="8"/>
  <c r="P27" i="8"/>
  <c r="O27" i="8"/>
  <c r="N27" i="8"/>
  <c r="M27" i="8"/>
  <c r="L27" i="8"/>
  <c r="K27" i="8"/>
  <c r="R26" i="8"/>
  <c r="Q26" i="8"/>
  <c r="P26" i="8"/>
  <c r="O26" i="8"/>
  <c r="N26" i="8"/>
  <c r="M26" i="8"/>
  <c r="L26" i="8"/>
  <c r="K26" i="8"/>
  <c r="R25" i="8"/>
  <c r="Q25" i="8"/>
  <c r="P25" i="8"/>
  <c r="O25" i="8"/>
  <c r="N25" i="8"/>
  <c r="M25" i="8"/>
  <c r="L25" i="8"/>
  <c r="K25" i="8"/>
  <c r="R24" i="8"/>
  <c r="Q24" i="8"/>
  <c r="P24" i="8"/>
  <c r="O24" i="8"/>
  <c r="N24" i="8"/>
  <c r="M24" i="8"/>
  <c r="L24" i="8"/>
  <c r="K24" i="8"/>
  <c r="R23" i="8"/>
  <c r="Q23" i="8"/>
  <c r="P23" i="8"/>
  <c r="O23" i="8"/>
  <c r="N23" i="8"/>
  <c r="M23" i="8"/>
  <c r="L23" i="8"/>
  <c r="K23" i="8"/>
  <c r="R22" i="8"/>
  <c r="Q22" i="8"/>
  <c r="P22" i="8"/>
  <c r="O22" i="8"/>
  <c r="N22" i="8"/>
  <c r="M22" i="8"/>
  <c r="L22" i="8"/>
  <c r="K22" i="8"/>
  <c r="R21" i="8"/>
  <c r="Q21" i="8"/>
  <c r="P21" i="8"/>
  <c r="O21" i="8"/>
  <c r="N21" i="8"/>
  <c r="M21" i="8"/>
  <c r="L21" i="8"/>
  <c r="K21" i="8"/>
  <c r="R20" i="8"/>
  <c r="Q20" i="8"/>
  <c r="P20" i="8"/>
  <c r="O20" i="8"/>
  <c r="N20" i="8"/>
  <c r="M20" i="8"/>
  <c r="L20" i="8"/>
  <c r="K20" i="8"/>
  <c r="R19" i="8"/>
  <c r="Q19" i="8"/>
  <c r="P19" i="8"/>
  <c r="O19" i="8"/>
  <c r="N19" i="8"/>
  <c r="M19" i="8"/>
  <c r="L19" i="8"/>
  <c r="K19" i="8"/>
  <c r="R18" i="8"/>
  <c r="Q18" i="8"/>
  <c r="P18" i="8"/>
  <c r="O18" i="8"/>
  <c r="N18" i="8"/>
  <c r="M18" i="8"/>
  <c r="L18" i="8"/>
  <c r="K18" i="8"/>
  <c r="R17" i="8"/>
  <c r="Q17" i="8"/>
  <c r="P17" i="8"/>
  <c r="O17" i="8"/>
  <c r="N17" i="8"/>
  <c r="M17" i="8"/>
  <c r="L17" i="8"/>
  <c r="K17" i="8"/>
  <c r="R16" i="8"/>
  <c r="Q16" i="8"/>
  <c r="P16" i="8"/>
  <c r="O16" i="8"/>
  <c r="N16" i="8"/>
  <c r="M16" i="8"/>
  <c r="L16" i="8"/>
  <c r="K16" i="8"/>
  <c r="R15" i="8"/>
  <c r="Q15" i="8"/>
  <c r="P15" i="8"/>
  <c r="O15" i="8"/>
  <c r="N15" i="8"/>
  <c r="M15" i="8"/>
  <c r="L15" i="8"/>
  <c r="K15" i="8"/>
  <c r="R14" i="8"/>
  <c r="Q14" i="8"/>
  <c r="P14" i="8"/>
  <c r="O14" i="8"/>
  <c r="N14" i="8"/>
  <c r="M14" i="8"/>
  <c r="L14" i="8"/>
  <c r="K14" i="8"/>
  <c r="R13" i="8"/>
  <c r="Q13" i="8"/>
  <c r="P13" i="8"/>
  <c r="O13" i="8"/>
  <c r="N13" i="8"/>
  <c r="M13" i="8"/>
  <c r="L13" i="8"/>
  <c r="K13" i="8"/>
  <c r="R12" i="8"/>
  <c r="Q12" i="8"/>
  <c r="P12" i="8"/>
  <c r="O12" i="8"/>
  <c r="N12" i="8"/>
  <c r="M12" i="8"/>
  <c r="L12" i="8"/>
  <c r="K12" i="8"/>
  <c r="R11" i="8"/>
  <c r="Q11" i="8"/>
  <c r="P11" i="8"/>
  <c r="O11" i="8"/>
  <c r="N11" i="8"/>
  <c r="M11" i="8"/>
  <c r="L11" i="8"/>
  <c r="K11" i="8"/>
  <c r="R10" i="8"/>
  <c r="Q10" i="8"/>
  <c r="P10" i="8"/>
  <c r="O10" i="8"/>
  <c r="N10" i="8"/>
  <c r="M10" i="8"/>
  <c r="L10" i="8"/>
  <c r="K10" i="8"/>
  <c r="R9" i="8"/>
  <c r="Q9" i="8"/>
  <c r="P9" i="8"/>
  <c r="O9" i="8"/>
  <c r="N9" i="8"/>
  <c r="M9" i="8"/>
  <c r="L9" i="8"/>
  <c r="K9" i="8"/>
  <c r="R8" i="8"/>
  <c r="Q8" i="8"/>
  <c r="P8" i="8"/>
  <c r="O8" i="8"/>
  <c r="N8" i="8"/>
  <c r="M8" i="8"/>
  <c r="L8" i="8"/>
  <c r="K8" i="8"/>
  <c r="R7" i="8"/>
  <c r="Q7" i="8"/>
  <c r="P7" i="8"/>
  <c r="O7" i="8"/>
  <c r="N7" i="8"/>
  <c r="M7" i="8"/>
  <c r="L7" i="8"/>
  <c r="K7" i="8"/>
  <c r="R6" i="8"/>
  <c r="Q6" i="8"/>
  <c r="P6" i="8"/>
  <c r="O6" i="8"/>
  <c r="N6" i="8"/>
  <c r="M6" i="8"/>
  <c r="L6" i="8"/>
  <c r="K6" i="8"/>
  <c r="R5" i="8"/>
  <c r="Q5" i="8"/>
  <c r="P5" i="8"/>
  <c r="O5" i="8"/>
  <c r="N5" i="8"/>
  <c r="M5" i="8"/>
  <c r="L5" i="8"/>
  <c r="K5" i="8"/>
  <c r="R4" i="8"/>
  <c r="Q4" i="8"/>
  <c r="P4" i="8"/>
  <c r="O4" i="8"/>
  <c r="N4" i="8"/>
  <c r="M4" i="8"/>
  <c r="L4" i="8"/>
  <c r="K4" i="8"/>
  <c r="R3" i="8"/>
  <c r="Q3" i="8"/>
  <c r="P3" i="8"/>
  <c r="O3" i="8"/>
  <c r="N3" i="8"/>
  <c r="M3" i="8"/>
  <c r="L3" i="8"/>
  <c r="K3" i="8"/>
  <c r="R2" i="8"/>
  <c r="Q2" i="8"/>
  <c r="P2" i="8"/>
  <c r="O2" i="8"/>
  <c r="N2" i="8"/>
  <c r="M2" i="8"/>
  <c r="L2" i="8"/>
  <c r="K2"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8" i="8"/>
  <c r="J7" i="8"/>
  <c r="J6" i="8"/>
  <c r="J5" i="8"/>
  <c r="J4" i="8"/>
  <c r="J3" i="8"/>
  <c r="J2" i="8"/>
  <c r="I42" i="8"/>
  <c r="I41" i="8"/>
  <c r="I40" i="8"/>
  <c r="I39" i="8"/>
  <c r="I38" i="8"/>
  <c r="I37" i="8"/>
  <c r="I36" i="8"/>
  <c r="I35" i="8"/>
  <c r="I34" i="8"/>
  <c r="I33" i="8"/>
  <c r="I32" i="8"/>
  <c r="I31" i="8"/>
  <c r="I30" i="8"/>
  <c r="I29" i="8"/>
  <c r="I28" i="8"/>
  <c r="I27" i="8"/>
  <c r="I26" i="8"/>
  <c r="I25" i="8"/>
  <c r="I24" i="8"/>
  <c r="I23" i="8"/>
  <c r="I22" i="8"/>
  <c r="I21" i="8"/>
  <c r="I20" i="8"/>
  <c r="I19" i="8"/>
  <c r="I18" i="8"/>
  <c r="I17" i="8"/>
  <c r="I16" i="8"/>
  <c r="I15" i="8"/>
  <c r="I14" i="8"/>
  <c r="I13" i="8"/>
  <c r="I12" i="8"/>
  <c r="I11" i="8"/>
  <c r="I10" i="8"/>
  <c r="I9" i="8"/>
  <c r="I8" i="8"/>
  <c r="I7" i="8"/>
  <c r="I6" i="8"/>
  <c r="I5" i="8"/>
  <c r="I4" i="8"/>
  <c r="I3" i="8"/>
  <c r="I2" i="8"/>
  <c r="H42" i="8"/>
  <c r="H41" i="8"/>
  <c r="H40" i="8"/>
  <c r="H39" i="8"/>
  <c r="H38" i="8"/>
  <c r="H29" i="8"/>
  <c r="H20" i="8"/>
  <c r="H11" i="8"/>
  <c r="H2" i="8"/>
  <c r="F40" i="8"/>
  <c r="F39" i="8"/>
  <c r="F38" i="8"/>
  <c r="F37" i="8"/>
  <c r="F36" i="8"/>
  <c r="F35" i="8"/>
  <c r="F34" i="8"/>
  <c r="F33" i="8"/>
  <c r="F32" i="8"/>
  <c r="F31" i="8"/>
  <c r="F30" i="8"/>
  <c r="F29" i="8"/>
  <c r="F28" i="8"/>
  <c r="F27" i="8"/>
  <c r="F26" i="8"/>
  <c r="F25" i="8"/>
  <c r="F24" i="8"/>
  <c r="F23" i="8"/>
  <c r="F22" i="8"/>
  <c r="F21" i="8"/>
  <c r="F20" i="8"/>
  <c r="F19" i="8"/>
  <c r="F18" i="8"/>
  <c r="F17" i="8"/>
  <c r="F16" i="8"/>
  <c r="F15" i="8"/>
  <c r="F14" i="8"/>
  <c r="F13" i="8"/>
  <c r="F12" i="8"/>
  <c r="F11" i="8"/>
  <c r="F10" i="8"/>
  <c r="F9" i="8"/>
  <c r="F8" i="8"/>
  <c r="F7" i="8"/>
  <c r="F6" i="8"/>
  <c r="F5" i="8"/>
  <c r="F4" i="8"/>
  <c r="F2" i="8"/>
  <c r="F3" i="8"/>
  <c r="Y240" i="1"/>
  <c r="Y239" i="1"/>
  <c r="Y238" i="1"/>
  <c r="Y237" i="1"/>
  <c r="Y236" i="1"/>
  <c r="Y234" i="1"/>
  <c r="Y232" i="1"/>
  <c r="Y231" i="1"/>
  <c r="Y230" i="1"/>
  <c r="Y229" i="1"/>
  <c r="Y228" i="1"/>
  <c r="Y226" i="1"/>
  <c r="Y224" i="1"/>
  <c r="Y223" i="1"/>
  <c r="Y222" i="1"/>
  <c r="Y221" i="1"/>
  <c r="Y220" i="1"/>
  <c r="Y218" i="1"/>
  <c r="Y216" i="1"/>
  <c r="Y215" i="1"/>
  <c r="Y214" i="1"/>
  <c r="Y213" i="1"/>
  <c r="Y212" i="1"/>
  <c r="Y210" i="1"/>
  <c r="Y208" i="1"/>
  <c r="Y207" i="1"/>
  <c r="Y206" i="1"/>
  <c r="Y205" i="1"/>
  <c r="Y204" i="1"/>
  <c r="Y202" i="1"/>
  <c r="Y200" i="1"/>
  <c r="Y199" i="1"/>
  <c r="Y198" i="1"/>
  <c r="Y197" i="1"/>
  <c r="Y196" i="1"/>
  <c r="Y194" i="1"/>
  <c r="Y192" i="1"/>
  <c r="Y191" i="1"/>
  <c r="Y190" i="1"/>
  <c r="Y189" i="1"/>
  <c r="Y188" i="1"/>
  <c r="Y186" i="1"/>
  <c r="Y184" i="1"/>
  <c r="Y183" i="1"/>
  <c r="Y182" i="1"/>
  <c r="Y181" i="1"/>
  <c r="Y180" i="1"/>
  <c r="Y178" i="1"/>
  <c r="Y177" i="1"/>
  <c r="Y176" i="1"/>
  <c r="Y175" i="1"/>
  <c r="Y174" i="1"/>
  <c r="Y173" i="1"/>
  <c r="Y172" i="1"/>
  <c r="Y171" i="1"/>
  <c r="Y170" i="1"/>
  <c r="Y169" i="1"/>
  <c r="Y168" i="1"/>
  <c r="Y167" i="1"/>
  <c r="Y166" i="1"/>
  <c r="Y165" i="1"/>
  <c r="Y164" i="1"/>
  <c r="Y163" i="1"/>
  <c r="Y162" i="1"/>
  <c r="Y161" i="1"/>
  <c r="Y160" i="1"/>
  <c r="Y159" i="1"/>
  <c r="Y158" i="1"/>
  <c r="Y157" i="1"/>
  <c r="Y156" i="1"/>
  <c r="Y155" i="1"/>
  <c r="Y154" i="1"/>
  <c r="Y153" i="1"/>
  <c r="Y152" i="1"/>
  <c r="Y151" i="1"/>
  <c r="Y150" i="1"/>
  <c r="Y149" i="1"/>
  <c r="Y148" i="1"/>
  <c r="Y147" i="1"/>
  <c r="Y146" i="1"/>
  <c r="Y140" i="1"/>
  <c r="Y138" i="1"/>
  <c r="Y136" i="1"/>
  <c r="Y135" i="1"/>
  <c r="Y134" i="1"/>
  <c r="Y131" i="1"/>
  <c r="Y129" i="1"/>
  <c r="Y128" i="1"/>
  <c r="Y126" i="1"/>
  <c r="Y125" i="1"/>
  <c r="Y123" i="1"/>
  <c r="Y122" i="1"/>
  <c r="Y120" i="1"/>
  <c r="Y119" i="1"/>
  <c r="Y118" i="1"/>
  <c r="Y117" i="1"/>
  <c r="Y116" i="1"/>
  <c r="Y115" i="1"/>
  <c r="Y114" i="1"/>
  <c r="Y113" i="1"/>
  <c r="Y112" i="1"/>
  <c r="Y110" i="1"/>
  <c r="Y109" i="1"/>
  <c r="Y108" i="1"/>
  <c r="Y106" i="1"/>
  <c r="Y105" i="1"/>
  <c r="Y104" i="1"/>
  <c r="Y103" i="1"/>
  <c r="Y102" i="1"/>
  <c r="Y101" i="1"/>
  <c r="Y100" i="1"/>
  <c r="Y99" i="1"/>
  <c r="Y97" i="1"/>
  <c r="Y96" i="1"/>
  <c r="Y95" i="1"/>
  <c r="Y94" i="1"/>
  <c r="Y93" i="1"/>
  <c r="Y92" i="1"/>
  <c r="Y91" i="1"/>
  <c r="Y89" i="1"/>
  <c r="Y88" i="1"/>
  <c r="Y82" i="1"/>
  <c r="Y81" i="1"/>
  <c r="Y80" i="1"/>
  <c r="Y78" i="1"/>
  <c r="Y77" i="1"/>
  <c r="Y76" i="1"/>
  <c r="Y73" i="1"/>
  <c r="Y71" i="1"/>
  <c r="Y70" i="1"/>
  <c r="Y68" i="1"/>
  <c r="Y67" i="1"/>
  <c r="Y65" i="1"/>
  <c r="Y64" i="1"/>
  <c r="Y62" i="1"/>
  <c r="Y61" i="1"/>
  <c r="Y60" i="1"/>
  <c r="Y59" i="1"/>
  <c r="Y58" i="1"/>
  <c r="Y57" i="1"/>
  <c r="Y56" i="1"/>
  <c r="Y55" i="1"/>
  <c r="Y54" i="1"/>
  <c r="Y53" i="1"/>
  <c r="Y52" i="1"/>
  <c r="Y51" i="1"/>
  <c r="Y50" i="1"/>
  <c r="Y49" i="1"/>
  <c r="Y48" i="1"/>
  <c r="Y47" i="1"/>
  <c r="Y46" i="1"/>
  <c r="Y45" i="1"/>
  <c r="Y44" i="1"/>
  <c r="Y43" i="1"/>
  <c r="Y42" i="1"/>
  <c r="Y41" i="1"/>
  <c r="Y40" i="1"/>
  <c r="Y39" i="1"/>
  <c r="Y38" i="1"/>
  <c r="Y37" i="1"/>
  <c r="Y36" i="1"/>
  <c r="Y35" i="1"/>
  <c r="Y34" i="1"/>
  <c r="Y33" i="1"/>
  <c r="Y32" i="1"/>
  <c r="Y31" i="1"/>
  <c r="Y30" i="1"/>
  <c r="Y25" i="1"/>
  <c r="Y23" i="1"/>
  <c r="Y22" i="1"/>
  <c r="Y20" i="1"/>
  <c r="Y19" i="1"/>
  <c r="Y17" i="1"/>
  <c r="Y16" i="1"/>
  <c r="Y14" i="1"/>
  <c r="Y13" i="1"/>
  <c r="Y11" i="1"/>
  <c r="Y10" i="1"/>
  <c r="Y8" i="1"/>
  <c r="Y7" i="1"/>
  <c r="Y5" i="1"/>
  <c r="Y4" i="1"/>
  <c r="Y2" i="1"/>
  <c r="G41" i="8"/>
  <c r="F41" i="8"/>
  <c r="G40" i="8"/>
  <c r="G39" i="8"/>
  <c r="G38" i="8"/>
  <c r="G37" i="8"/>
  <c r="G36" i="8"/>
  <c r="G35" i="8"/>
  <c r="G34" i="8"/>
  <c r="G33" i="8"/>
  <c r="G32" i="8"/>
  <c r="G31" i="8"/>
  <c r="G30" i="8"/>
  <c r="G29" i="8"/>
  <c r="G28" i="8"/>
  <c r="G27" i="8"/>
  <c r="G26" i="8"/>
  <c r="G25" i="8"/>
  <c r="G24" i="8"/>
  <c r="G23" i="8"/>
  <c r="G22" i="8"/>
  <c r="G21" i="8"/>
  <c r="G20" i="8"/>
  <c r="G19" i="8"/>
  <c r="G18" i="8"/>
  <c r="G17" i="8"/>
  <c r="G16" i="8"/>
  <c r="G15" i="8"/>
  <c r="G14" i="8"/>
  <c r="G13" i="8"/>
  <c r="G12" i="8"/>
  <c r="G11" i="8"/>
  <c r="G10" i="8"/>
  <c r="G9" i="8"/>
  <c r="G8" i="8"/>
  <c r="G7" i="8"/>
  <c r="G6" i="8"/>
  <c r="G5" i="8"/>
  <c r="G4" i="8"/>
  <c r="G2" i="8"/>
  <c r="G3" i="8"/>
  <c r="C241" i="1"/>
  <c r="C240" i="1"/>
  <c r="C239" i="1"/>
  <c r="C238" i="1"/>
  <c r="C237" i="1"/>
  <c r="C236" i="1"/>
  <c r="C235" i="1"/>
  <c r="C234" i="1"/>
  <c r="C233" i="1"/>
  <c r="C232" i="1"/>
  <c r="C231"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2" i="1"/>
  <c r="C181"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c r="C4" i="1"/>
  <c r="C3" i="1"/>
  <c r="C2" i="1"/>
  <c r="C43" i="9"/>
  <c r="C42" i="9"/>
  <c r="C41" i="9"/>
  <c r="E27" i="11"/>
  <c r="G17" i="10"/>
  <c r="F17" i="10"/>
  <c r="G16" i="10"/>
  <c r="F16" i="10"/>
  <c r="G15" i="10"/>
  <c r="F15" i="10"/>
  <c r="G14" i="10"/>
  <c r="G45" i="9"/>
  <c r="F45" i="9"/>
  <c r="G44" i="9"/>
  <c r="F44" i="9"/>
  <c r="G43" i="8"/>
  <c r="G42" i="8"/>
  <c r="C31" i="12"/>
  <c r="G20" i="10"/>
  <c r="G19" i="10"/>
  <c r="G18" i="10"/>
  <c r="H45" i="8"/>
  <c r="H44" i="8"/>
  <c r="H43" i="8"/>
  <c r="B6" i="12"/>
  <c r="B7" i="12" s="1"/>
  <c r="H13" i="12" s="1"/>
  <c r="F7" i="12"/>
  <c r="I14" i="12" s="1"/>
  <c r="I15" i="12" s="1"/>
  <c r="X103" i="4"/>
  <c r="W103" i="4"/>
  <c r="V103" i="4"/>
  <c r="P10" i="1"/>
  <c r="Q10" i="1"/>
  <c r="I3" i="10"/>
  <c r="H3" i="10"/>
  <c r="F3" i="10"/>
  <c r="E3" i="10"/>
  <c r="G38" i="15" l="1"/>
  <c r="G39" i="15"/>
  <c r="G14" i="12"/>
  <c r="H64" i="12" a="1"/>
  <c r="H64" i="12" s="1"/>
  <c r="G9" i="10"/>
  <c r="H106" i="12"/>
  <c r="G91" i="12"/>
  <c r="F89" i="12" s="1"/>
  <c r="H14" i="12"/>
  <c r="H113" i="12"/>
  <c r="H111" i="12"/>
  <c r="G17" i="12" a="1"/>
  <c r="G17" i="12" s="1"/>
  <c r="I17" i="12" a="1"/>
  <c r="I17" i="12" s="1"/>
  <c r="F17" i="12" a="1"/>
  <c r="F17" i="12" s="1"/>
  <c r="H225" i="1"/>
  <c r="G8" i="11" s="1"/>
  <c r="H26" i="1"/>
  <c r="G11" i="11" s="1"/>
  <c r="H233" i="1"/>
  <c r="G9" i="11" s="1"/>
  <c r="H241" i="1"/>
  <c r="G10" i="11" s="1"/>
  <c r="H185" i="1"/>
  <c r="G3" i="11" s="1"/>
  <c r="H193" i="1"/>
  <c r="G4" i="11" s="1"/>
  <c r="H201" i="1"/>
  <c r="G5" i="11" s="1"/>
  <c r="H209" i="1"/>
  <c r="H217" i="1"/>
  <c r="C25" i="8"/>
  <c r="D25" i="8" s="1"/>
  <c r="H6" i="8"/>
  <c r="C6" i="8"/>
  <c r="D6" i="8" s="1"/>
  <c r="C17" i="8"/>
  <c r="D17" i="8" s="1"/>
  <c r="H3" i="8"/>
  <c r="B8" i="9"/>
  <c r="C8" i="9" s="1"/>
  <c r="H7" i="8"/>
  <c r="C10" i="8"/>
  <c r="D10" i="8" s="1"/>
  <c r="G20" i="9"/>
  <c r="U38" i="4"/>
  <c r="C9" i="8"/>
  <c r="D9" i="8" s="1"/>
  <c r="C36" i="8"/>
  <c r="D36" i="8" s="1"/>
  <c r="B11" i="9"/>
  <c r="C11" i="9" s="1"/>
  <c r="U68" i="4"/>
  <c r="B30" i="9"/>
  <c r="C30" i="9" s="1"/>
  <c r="B37" i="9"/>
  <c r="C37" i="9" s="1"/>
  <c r="C26" i="8"/>
  <c r="D26" i="8" s="1"/>
  <c r="B16" i="9"/>
  <c r="C16" i="9" s="1"/>
  <c r="U61" i="4"/>
  <c r="U88" i="4"/>
  <c r="U77" i="4"/>
  <c r="U3" i="4"/>
  <c r="U76" i="4"/>
  <c r="C35" i="8"/>
  <c r="D35" i="8" s="1"/>
  <c r="C16" i="8"/>
  <c r="D16" i="8" s="1"/>
  <c r="B4" i="9"/>
  <c r="C4" i="9" s="1"/>
  <c r="B29" i="9"/>
  <c r="C29" i="9" s="1"/>
  <c r="U14" i="4"/>
  <c r="F84" i="12"/>
  <c r="F79" i="12"/>
  <c r="H80" i="12"/>
  <c r="U49" i="4"/>
  <c r="U48" i="4"/>
  <c r="U24" i="4"/>
  <c r="U12" i="4"/>
  <c r="U19" i="4"/>
  <c r="H15" i="12"/>
  <c r="U95" i="4"/>
  <c r="H89" i="12"/>
  <c r="U94" i="4"/>
  <c r="U93" i="4"/>
  <c r="C3" i="8"/>
  <c r="D3" i="8" s="1"/>
  <c r="C28" i="8"/>
  <c r="D28" i="8" s="1"/>
  <c r="B5" i="9"/>
  <c r="C5" i="9" s="1"/>
  <c r="G4" i="9"/>
  <c r="U59" i="4"/>
  <c r="H112" i="12"/>
  <c r="H110" i="12"/>
  <c r="U98" i="4"/>
  <c r="U97" i="4"/>
  <c r="R103" i="4"/>
  <c r="U62" i="4"/>
  <c r="U58" i="4"/>
  <c r="S103" i="4"/>
  <c r="H79" i="12"/>
  <c r="H117" i="12"/>
  <c r="H104" i="12"/>
  <c r="H118" i="12"/>
  <c r="U65" i="4"/>
  <c r="U63" i="4"/>
  <c r="U45" i="4"/>
  <c r="U35" i="4"/>
  <c r="U11" i="4"/>
  <c r="U10" i="4"/>
  <c r="H115" i="12"/>
  <c r="H109" i="12"/>
  <c r="F9" i="12"/>
  <c r="H37" i="8"/>
  <c r="C18" i="8"/>
  <c r="D18" i="8" s="1"/>
  <c r="C33" i="8"/>
  <c r="D33" i="8" s="1"/>
  <c r="E31" i="12"/>
  <c r="M42" i="15" s="1"/>
  <c r="U78" i="4"/>
  <c r="U27" i="4"/>
  <c r="U25" i="4"/>
  <c r="H87" i="12"/>
  <c r="H76" i="12"/>
  <c r="H107" i="12"/>
  <c r="U81" i="4"/>
  <c r="U79" i="4"/>
  <c r="U52" i="4"/>
  <c r="H85" i="12"/>
  <c r="H75" i="12"/>
  <c r="C22" i="8"/>
  <c r="D22" i="8" s="1"/>
  <c r="B19" i="9"/>
  <c r="C19" i="9" s="1"/>
  <c r="B24" i="9"/>
  <c r="C24" i="9" s="1"/>
  <c r="U92" i="4"/>
  <c r="U55" i="4"/>
  <c r="U51" i="4"/>
  <c r="U43" i="4"/>
  <c r="U37" i="4"/>
  <c r="H116" i="12"/>
  <c r="H105" i="12"/>
  <c r="H103" i="12"/>
  <c r="C25" i="11"/>
  <c r="G16" i="9"/>
  <c r="H31" i="8"/>
  <c r="H63" i="12" a="1"/>
  <c r="H63" i="12" s="1"/>
  <c r="C22" i="11"/>
  <c r="K11" i="11"/>
  <c r="H8" i="11"/>
  <c r="H62" i="12" a="1"/>
  <c r="H62" i="12" s="1"/>
  <c r="H22" i="11"/>
  <c r="H61" i="12" a="1"/>
  <c r="H61" i="12" s="1"/>
  <c r="L103" i="4"/>
  <c r="H60" i="12" a="1"/>
  <c r="H60" i="12" s="1"/>
  <c r="H59" i="12" a="1"/>
  <c r="H59" i="12" s="1"/>
  <c r="L3" i="11"/>
  <c r="K8" i="11"/>
  <c r="G26" i="9"/>
  <c r="H35" i="8"/>
  <c r="H15" i="11"/>
  <c r="I8" i="11"/>
  <c r="J10" i="11"/>
  <c r="G32" i="9"/>
  <c r="H27" i="8"/>
  <c r="L15" i="11"/>
  <c r="L22" i="11"/>
  <c r="I10" i="11"/>
  <c r="J21" i="11"/>
  <c r="I15" i="11"/>
  <c r="L21" i="11"/>
  <c r="L2" i="11"/>
  <c r="H50" i="12" a="1"/>
  <c r="H50" i="12" s="1"/>
  <c r="I17" i="11"/>
  <c r="C2" i="11"/>
  <c r="I19" i="11"/>
  <c r="K19" i="11"/>
  <c r="E53" i="12" a="1"/>
  <c r="E53" i="12" s="1"/>
  <c r="C10" i="11"/>
  <c r="H20" i="11"/>
  <c r="I22" i="11"/>
  <c r="L19" i="11"/>
  <c r="C18" i="11"/>
  <c r="I2" i="11"/>
  <c r="L20" i="11"/>
  <c r="H12" i="8"/>
  <c r="G5" i="9"/>
  <c r="H14" i="8"/>
  <c r="G21" i="9"/>
  <c r="H30" i="8"/>
  <c r="G8" i="9"/>
  <c r="H25" i="8"/>
  <c r="G15" i="9"/>
  <c r="G25" i="9"/>
  <c r="H28" i="8"/>
  <c r="G31" i="9"/>
  <c r="H26" i="8"/>
  <c r="H33" i="8"/>
  <c r="G36" i="9"/>
  <c r="G22" i="9"/>
  <c r="H16" i="8"/>
  <c r="H18" i="8"/>
  <c r="G23" i="9"/>
  <c r="H22" i="8"/>
  <c r="G14" i="9"/>
  <c r="G6" i="9"/>
  <c r="H17" i="8"/>
  <c r="H21" i="8"/>
  <c r="G7" i="9"/>
  <c r="H23" i="8"/>
  <c r="G24" i="9"/>
  <c r="H9" i="8"/>
  <c r="G28" i="9"/>
  <c r="G13" i="9"/>
  <c r="H13" i="8"/>
  <c r="G37" i="9"/>
  <c r="H34" i="8"/>
  <c r="G34" i="9"/>
  <c r="H10" i="8"/>
  <c r="I11" i="11"/>
  <c r="J8" i="11"/>
  <c r="L16" i="11"/>
  <c r="L23" i="11"/>
  <c r="C8" i="11"/>
  <c r="H23" i="11"/>
  <c r="I16" i="11"/>
  <c r="L11" i="11"/>
  <c r="K22" i="11"/>
  <c r="I3" i="11"/>
  <c r="C16" i="11"/>
  <c r="H7" i="11"/>
  <c r="I18" i="11"/>
  <c r="I52" i="12" a="1"/>
  <c r="I52" i="12" s="1"/>
  <c r="I7" i="11"/>
  <c r="K3" i="11"/>
  <c r="L7" i="11"/>
  <c r="J18" i="11"/>
  <c r="J16" i="11"/>
  <c r="J23" i="11"/>
  <c r="G50" i="12" a="1"/>
  <c r="G50" i="12" s="1"/>
  <c r="C23" i="11"/>
  <c r="H16" i="11"/>
  <c r="I23" i="11"/>
  <c r="L9" i="11"/>
  <c r="K9" i="11"/>
  <c r="J9" i="11"/>
  <c r="H9" i="11"/>
  <c r="C9" i="11"/>
  <c r="I9" i="11"/>
  <c r="H51" i="12" a="1"/>
  <c r="H51" i="12" s="1"/>
  <c r="L12" i="11"/>
  <c r="K12" i="11"/>
  <c r="H12" i="11"/>
  <c r="J12" i="11"/>
  <c r="C12" i="11"/>
  <c r="I12" i="11"/>
  <c r="U57" i="4"/>
  <c r="P103" i="4"/>
  <c r="J52" i="12" a="1"/>
  <c r="J52" i="12" s="1"/>
  <c r="C21" i="8"/>
  <c r="D21" i="8" s="1"/>
  <c r="B35" i="9"/>
  <c r="C35" i="9" s="1"/>
  <c r="C19" i="8"/>
  <c r="D19" i="8" s="1"/>
  <c r="L4" i="11"/>
  <c r="K4" i="11"/>
  <c r="H4" i="11"/>
  <c r="J4" i="11"/>
  <c r="C4" i="11"/>
  <c r="I4" i="11"/>
  <c r="G29" i="9"/>
  <c r="H15" i="8"/>
  <c r="G35" i="9"/>
  <c r="H19" i="8"/>
  <c r="H24" i="8"/>
  <c r="G30" i="9"/>
  <c r="G11" i="9"/>
  <c r="H5" i="8"/>
  <c r="N103" i="4"/>
  <c r="U100" i="4"/>
  <c r="I53" i="12" a="1"/>
  <c r="I53" i="12" s="1"/>
  <c r="F53" i="12" a="1"/>
  <c r="F53" i="12" s="1"/>
  <c r="F52" i="12" a="1"/>
  <c r="F52" i="12" s="1"/>
  <c r="G49" i="12" a="1"/>
  <c r="G49" i="12" s="1"/>
  <c r="E51" i="12" a="1"/>
  <c r="E51" i="12" s="1"/>
  <c r="F49" i="12" a="1"/>
  <c r="F49" i="12" s="1"/>
  <c r="H52" i="12" a="1"/>
  <c r="H52" i="12" s="1"/>
  <c r="G51" i="12" a="1"/>
  <c r="G51" i="12" s="1"/>
  <c r="C37" i="8"/>
  <c r="D37" i="8" s="1"/>
  <c r="H13" i="11"/>
  <c r="C13" i="11"/>
  <c r="I13" i="11"/>
  <c r="L13" i="11"/>
  <c r="K13" i="11"/>
  <c r="U66" i="4"/>
  <c r="U64" i="4"/>
  <c r="H5" i="11"/>
  <c r="C5" i="11"/>
  <c r="I5" i="11"/>
  <c r="L5" i="11"/>
  <c r="K5" i="11"/>
  <c r="H32" i="8"/>
  <c r="G17" i="9"/>
  <c r="K50" i="12" a="1"/>
  <c r="K50" i="12" s="1"/>
  <c r="F13" i="12"/>
  <c r="F15" i="12" s="1"/>
  <c r="K15" i="12" s="1"/>
  <c r="G13" i="12"/>
  <c r="G15" i="12" s="1"/>
  <c r="B9" i="12"/>
  <c r="K14" i="11"/>
  <c r="H14" i="11"/>
  <c r="J14" i="11"/>
  <c r="C14" i="11"/>
  <c r="I14" i="11"/>
  <c r="U91" i="4"/>
  <c r="U80" i="4"/>
  <c r="B32" i="9"/>
  <c r="C32" i="9" s="1"/>
  <c r="C27" i="8"/>
  <c r="D27" i="8" s="1"/>
  <c r="K6" i="11"/>
  <c r="H6" i="11"/>
  <c r="J6" i="11"/>
  <c r="C6" i="11"/>
  <c r="I6" i="11"/>
  <c r="K53" i="12" a="1"/>
  <c r="K53" i="12" s="1"/>
  <c r="C24" i="11"/>
  <c r="L17" i="11"/>
  <c r="K17" i="11"/>
  <c r="J17" i="11"/>
  <c r="H17" i="11"/>
  <c r="K52" i="12" a="1"/>
  <c r="K52" i="12" s="1"/>
  <c r="K51" i="12" a="1"/>
  <c r="K51" i="12" s="1"/>
  <c r="U72" i="4"/>
  <c r="J53" i="12" a="1"/>
  <c r="J53" i="12" s="1"/>
  <c r="I51" i="12" a="1"/>
  <c r="I51" i="12" s="1"/>
  <c r="E50" i="12" a="1"/>
  <c r="E50" i="12" s="1"/>
  <c r="F48" i="12" a="1"/>
  <c r="F48" i="12" s="1"/>
  <c r="C13" i="8"/>
  <c r="D13" i="8" s="1"/>
  <c r="B21" i="9"/>
  <c r="C21" i="9" s="1"/>
  <c r="C14" i="8"/>
  <c r="D14" i="8" s="1"/>
  <c r="U96" i="4"/>
  <c r="U84" i="4"/>
  <c r="U101" i="4"/>
  <c r="U99" i="4"/>
  <c r="T103" i="4"/>
  <c r="K18" i="15" a="1"/>
  <c r="K18" i="15" s="1"/>
  <c r="M16" i="15" a="1"/>
  <c r="M16" i="15" s="1"/>
  <c r="L15" i="15" a="1"/>
  <c r="L15" i="15" s="1"/>
  <c r="K14" i="15" a="1"/>
  <c r="K14" i="15" s="1"/>
  <c r="M28" i="15" a="1"/>
  <c r="M28" i="15" s="1"/>
  <c r="L27" i="15" a="1"/>
  <c r="L27" i="15" s="1"/>
  <c r="K26" i="15" a="1"/>
  <c r="K26" i="15" s="1"/>
  <c r="M24" i="15" a="1"/>
  <c r="M24" i="15" s="1"/>
  <c r="K23" i="15" a="1"/>
  <c r="K23" i="15" s="1"/>
  <c r="M17" i="15" a="1"/>
  <c r="M17" i="15" s="1"/>
  <c r="L16" i="15" a="1"/>
  <c r="L16" i="15" s="1"/>
  <c r="K15" i="15" a="1"/>
  <c r="K15" i="15" s="1"/>
  <c r="L13" i="15" a="1"/>
  <c r="L13" i="15" s="1"/>
  <c r="L28" i="15" a="1"/>
  <c r="L28" i="15" s="1"/>
  <c r="K27" i="15" a="1"/>
  <c r="K27" i="15" s="1"/>
  <c r="M25" i="15" a="1"/>
  <c r="M25" i="15" s="1"/>
  <c r="L24" i="15" a="1"/>
  <c r="L24" i="15" s="1"/>
  <c r="M23" i="15" a="1"/>
  <c r="M23" i="15" s="1"/>
  <c r="M18" i="15" a="1"/>
  <c r="M18" i="15" s="1"/>
  <c r="L17" i="15" a="1"/>
  <c r="L17" i="15" s="1"/>
  <c r="K16" i="15" a="1"/>
  <c r="K16" i="15" s="1"/>
  <c r="M14" i="15" a="1"/>
  <c r="M14" i="15" s="1"/>
  <c r="K13" i="15" a="1"/>
  <c r="K13" i="15" s="1"/>
  <c r="K28" i="15" a="1"/>
  <c r="K28" i="15" s="1"/>
  <c r="M26" i="15" a="1"/>
  <c r="M26" i="15" s="1"/>
  <c r="L25" i="15" a="1"/>
  <c r="L25" i="15" s="1"/>
  <c r="K24" i="15" a="1"/>
  <c r="K24" i="15" s="1"/>
  <c r="L18" i="15" a="1"/>
  <c r="L18" i="15" s="1"/>
  <c r="K17" i="15" a="1"/>
  <c r="K17" i="15" s="1"/>
  <c r="M15" i="15" a="1"/>
  <c r="M15" i="15" s="1"/>
  <c r="L14" i="15" a="1"/>
  <c r="L14" i="15" s="1"/>
  <c r="M13" i="15" a="1"/>
  <c r="M13" i="15" s="1"/>
  <c r="M27" i="15" a="1"/>
  <c r="M27" i="15" s="1"/>
  <c r="L26" i="15" a="1"/>
  <c r="L26" i="15" s="1"/>
  <c r="K25" i="15" a="1"/>
  <c r="K25" i="15" s="1"/>
  <c r="L23" i="15" a="1"/>
  <c r="L23" i="15" s="1"/>
  <c r="H53" i="12" a="1"/>
  <c r="H53" i="12" s="1"/>
  <c r="G52" i="12" a="1"/>
  <c r="G52" i="12" s="1"/>
  <c r="F50" i="12" a="1"/>
  <c r="F50" i="12" s="1"/>
  <c r="K48" i="12" a="1"/>
  <c r="K48" i="12" s="1"/>
  <c r="E48" i="12" a="1"/>
  <c r="E48" i="12" s="1"/>
  <c r="H36" i="8"/>
  <c r="C3" i="11"/>
  <c r="C11" i="11"/>
  <c r="C19" i="11"/>
  <c r="H10" i="11"/>
  <c r="H18" i="11"/>
  <c r="I20" i="11"/>
  <c r="J2" i="11"/>
  <c r="J7" i="11"/>
  <c r="K10" i="11"/>
  <c r="J15" i="11"/>
  <c r="K18" i="11"/>
  <c r="J20" i="11"/>
  <c r="U82" i="4"/>
  <c r="U73" i="4"/>
  <c r="U70" i="4"/>
  <c r="U69" i="4"/>
  <c r="U67" i="4"/>
  <c r="G53" i="12" a="1"/>
  <c r="G53" i="12" s="1"/>
  <c r="F51" i="12" a="1"/>
  <c r="F51" i="12" s="1"/>
  <c r="K49" i="12" a="1"/>
  <c r="K49" i="12" s="1"/>
  <c r="E49" i="12" a="1"/>
  <c r="E49" i="12" s="1"/>
  <c r="J48" i="12" a="1"/>
  <c r="J48" i="12" s="1"/>
  <c r="B17" i="9"/>
  <c r="C17" i="9" s="1"/>
  <c r="B20" i="9"/>
  <c r="C20" i="9" s="1"/>
  <c r="C20" i="11"/>
  <c r="H3" i="11"/>
  <c r="H11" i="11"/>
  <c r="H19" i="11"/>
  <c r="I21" i="11"/>
  <c r="K7" i="11"/>
  <c r="K15" i="11"/>
  <c r="U83" i="4"/>
  <c r="U71" i="4"/>
  <c r="U53" i="4"/>
  <c r="J49" i="12" a="1"/>
  <c r="J49" i="12" s="1"/>
  <c r="I48" i="12" a="1"/>
  <c r="I48" i="12" s="1"/>
  <c r="C21" i="11"/>
  <c r="U86" i="4"/>
  <c r="U85" i="4"/>
  <c r="U56" i="4"/>
  <c r="Q103" i="4"/>
  <c r="U54" i="4"/>
  <c r="J50" i="12" a="1"/>
  <c r="J50" i="12" s="1"/>
  <c r="I49" i="12" a="1"/>
  <c r="I49" i="12" s="1"/>
  <c r="H48" i="12" a="1"/>
  <c r="H48" i="12" s="1"/>
  <c r="H21" i="11"/>
  <c r="U87" i="4"/>
  <c r="U74" i="4"/>
  <c r="E52" i="12" a="1"/>
  <c r="E52" i="12" s="1"/>
  <c r="J51" i="12" a="1"/>
  <c r="J51" i="12" s="1"/>
  <c r="I50" i="12" a="1"/>
  <c r="I50" i="12" s="1"/>
  <c r="H49" i="12" a="1"/>
  <c r="H49" i="12" s="1"/>
  <c r="G48" i="12" a="1"/>
  <c r="G48" i="12" s="1"/>
  <c r="U90" i="4"/>
  <c r="U89" i="4"/>
  <c r="U75" i="4"/>
  <c r="U60" i="4"/>
  <c r="U39" i="4"/>
  <c r="U13" i="4"/>
  <c r="E65" i="12"/>
  <c r="U41" i="4"/>
  <c r="U40" i="4"/>
  <c r="U28" i="4"/>
  <c r="U26" i="4"/>
  <c r="U15" i="4"/>
  <c r="G65" i="12"/>
  <c r="U29" i="4"/>
  <c r="U17" i="4"/>
  <c r="U16" i="4"/>
  <c r="U4" i="4"/>
  <c r="U2" i="4"/>
  <c r="U44" i="4"/>
  <c r="U42" i="4"/>
  <c r="U31" i="4"/>
  <c r="U30" i="4"/>
  <c r="U5" i="4"/>
  <c r="F65" i="12"/>
  <c r="U47" i="4"/>
  <c r="U46" i="4"/>
  <c r="U33" i="4"/>
  <c r="U32" i="4"/>
  <c r="U20" i="4"/>
  <c r="U18" i="4"/>
  <c r="U7" i="4"/>
  <c r="U6" i="4"/>
  <c r="U50" i="4"/>
  <c r="U21" i="4"/>
  <c r="U9" i="4"/>
  <c r="U8" i="4"/>
  <c r="U36" i="4"/>
  <c r="U34" i="4"/>
  <c r="U23" i="4"/>
  <c r="U22" i="4"/>
  <c r="H119" i="12"/>
  <c r="I119" i="12"/>
  <c r="F75" i="12"/>
  <c r="F85" i="12"/>
  <c r="F76" i="12"/>
  <c r="F87" i="12"/>
  <c r="H77" i="12"/>
  <c r="H88" i="12"/>
  <c r="F77" i="12"/>
  <c r="F88" i="12"/>
  <c r="F80" i="12"/>
  <c r="F81" i="12"/>
  <c r="H73" i="12"/>
  <c r="H83" i="12"/>
  <c r="F73" i="12"/>
  <c r="F83" i="12"/>
  <c r="H74" i="12"/>
  <c r="H84" i="12"/>
  <c r="F74" i="12"/>
  <c r="G13" i="15" l="1" a="1"/>
  <c r="G13" i="15" s="1"/>
  <c r="H81" i="12"/>
  <c r="K17" i="12"/>
  <c r="M17" i="12" s="1"/>
  <c r="G25" i="15" a="1"/>
  <c r="G25" i="15" s="1"/>
  <c r="J27" i="15" a="1"/>
  <c r="J27" i="15" s="1"/>
  <c r="J4" i="15" a="1"/>
  <c r="J4" i="15" s="1"/>
  <c r="L7" i="15" a="1"/>
  <c r="L7" i="15" s="1"/>
  <c r="I15" i="15" a="1"/>
  <c r="I15" i="15" s="1"/>
  <c r="K5" i="15" a="1"/>
  <c r="K5" i="15" s="1"/>
  <c r="H6" i="15" a="1"/>
  <c r="H6" i="15" s="1"/>
  <c r="J16" i="15" a="1"/>
  <c r="J16" i="15" s="1"/>
  <c r="J8" i="15" a="1"/>
  <c r="J8" i="15" s="1"/>
  <c r="K4" i="15" a="1"/>
  <c r="K4" i="15" s="1"/>
  <c r="I27" i="15" a="1"/>
  <c r="I27" i="15" s="1"/>
  <c r="G17" i="15" a="1"/>
  <c r="G17" i="15" s="1"/>
  <c r="I23" i="15" a="1"/>
  <c r="I23" i="15" s="1"/>
  <c r="L4" i="15" a="1"/>
  <c r="L4" i="15" s="1"/>
  <c r="H16" i="15" a="1"/>
  <c r="H16" i="15" s="1"/>
  <c r="H26" i="15" a="1"/>
  <c r="H26" i="15" s="1"/>
  <c r="H23" i="15" a="1"/>
  <c r="H23" i="15" s="1"/>
  <c r="G16" i="15" a="1"/>
  <c r="G16" i="15" s="1"/>
  <c r="I28" i="15" a="1"/>
  <c r="I28" i="15" s="1"/>
  <c r="J28" i="15" a="1"/>
  <c r="J28" i="15" s="1"/>
  <c r="J17" i="15" a="1"/>
  <c r="J17" i="15" s="1"/>
  <c r="G28" i="15" a="1"/>
  <c r="G28" i="15" s="1"/>
  <c r="J24" i="15" a="1"/>
  <c r="J24" i="15" s="1"/>
  <c r="L3" i="15" a="1"/>
  <c r="L3" i="15" s="1"/>
  <c r="K6" i="15" a="1"/>
  <c r="K6" i="15" s="1"/>
  <c r="H5" i="15" a="1"/>
  <c r="H5" i="15" s="1"/>
  <c r="J23" i="15" a="1"/>
  <c r="J23" i="15" s="1"/>
  <c r="H28" i="15" a="1"/>
  <c r="H28" i="15" s="1"/>
  <c r="I5" i="15" a="1"/>
  <c r="I5" i="15" s="1"/>
  <c r="I24" i="15" a="1"/>
  <c r="I24" i="15" s="1"/>
  <c r="G18" i="15" a="1"/>
  <c r="G18" i="15" s="1"/>
  <c r="I8" i="15" a="1"/>
  <c r="I8" i="15" s="1"/>
  <c r="G7" i="11"/>
  <c r="G5" i="15" a="1"/>
  <c r="G5" i="15" s="1"/>
  <c r="G24" i="15" a="1"/>
  <c r="G24" i="15" s="1"/>
  <c r="H17" i="15" a="1"/>
  <c r="H17" i="15" s="1"/>
  <c r="L5" i="15" a="1"/>
  <c r="L5" i="15" s="1"/>
  <c r="H24" i="15" a="1"/>
  <c r="H24" i="15" s="1"/>
  <c r="I17" i="15" a="1"/>
  <c r="I17" i="15" s="1"/>
  <c r="M5" i="15" a="1"/>
  <c r="M5" i="15" s="1"/>
  <c r="I13" i="15" a="1"/>
  <c r="I13" i="15" s="1"/>
  <c r="M8" i="15" a="1"/>
  <c r="M8" i="15" s="1"/>
  <c r="H7" i="15" a="1"/>
  <c r="H7" i="15" s="1"/>
  <c r="I6" i="15" a="1"/>
  <c r="I6" i="15" s="1"/>
  <c r="H13" i="15" a="1"/>
  <c r="H13" i="15" s="1"/>
  <c r="J6" i="15" a="1"/>
  <c r="J6" i="15" s="1"/>
  <c r="J25" i="15" a="1"/>
  <c r="J25" i="15" s="1"/>
  <c r="G14" i="15" a="1"/>
  <c r="G14" i="15" s="1"/>
  <c r="G3" i="15" a="1"/>
  <c r="G3" i="15" s="1"/>
  <c r="H25" i="15" a="1"/>
  <c r="H25" i="15" s="1"/>
  <c r="I18" i="15" a="1"/>
  <c r="I18" i="15" s="1"/>
  <c r="M6" i="15" a="1"/>
  <c r="M6" i="15" s="1"/>
  <c r="I25" i="15" a="1"/>
  <c r="I25" i="15" s="1"/>
  <c r="J18" i="15" a="1"/>
  <c r="J18" i="15" s="1"/>
  <c r="G7" i="15" a="1"/>
  <c r="G7" i="15" s="1"/>
  <c r="G26" i="15" a="1"/>
  <c r="G26" i="15" s="1"/>
  <c r="K3" i="15" a="1"/>
  <c r="K3" i="15" s="1"/>
  <c r="H18" i="15" a="1"/>
  <c r="H18" i="15" s="1"/>
  <c r="L6" i="15" a="1"/>
  <c r="L6" i="15" s="1"/>
  <c r="I14" i="15" a="1"/>
  <c r="I14" i="15" s="1"/>
  <c r="J7" i="15" a="1"/>
  <c r="J7" i="15" s="1"/>
  <c r="J14" i="15" a="1"/>
  <c r="J14" i="15" s="1"/>
  <c r="M3" i="15" a="1"/>
  <c r="M3" i="15" s="1"/>
  <c r="K7" i="15" a="1"/>
  <c r="K7" i="15" s="1"/>
  <c r="H15" i="15" a="1"/>
  <c r="H15" i="15" s="1"/>
  <c r="I4" i="15" a="1"/>
  <c r="I4" i="15" s="1"/>
  <c r="J13" i="15" a="1"/>
  <c r="J13" i="15" s="1"/>
  <c r="H14" i="15" a="1"/>
  <c r="H14" i="15" s="1"/>
  <c r="I7" i="15" a="1"/>
  <c r="I7" i="15" s="1"/>
  <c r="I26" i="15" a="1"/>
  <c r="I26" i="15" s="1"/>
  <c r="I3" i="15" a="1"/>
  <c r="I3" i="15" s="1"/>
  <c r="G8" i="15" a="1"/>
  <c r="G8" i="15" s="1"/>
  <c r="J26" i="15" a="1"/>
  <c r="J26" i="15" s="1"/>
  <c r="G15" i="15" a="1"/>
  <c r="G15" i="15" s="1"/>
  <c r="J3" i="15" a="1"/>
  <c r="J3" i="15" s="1"/>
  <c r="H8" i="15" a="1"/>
  <c r="H8" i="15" s="1"/>
  <c r="H27" i="15" a="1"/>
  <c r="H27" i="15" s="1"/>
  <c r="G6" i="15" a="1"/>
  <c r="G6" i="15" s="1"/>
  <c r="H3" i="15" a="1"/>
  <c r="H3" i="15" s="1"/>
  <c r="M7" i="15" a="1"/>
  <c r="M7" i="15" s="1"/>
  <c r="J15" i="15" a="1"/>
  <c r="J15" i="15" s="1"/>
  <c r="G4" i="15" a="1"/>
  <c r="G4" i="15" s="1"/>
  <c r="K8" i="15" a="1"/>
  <c r="K8" i="15" s="1"/>
  <c r="G27" i="15" a="1"/>
  <c r="G27" i="15" s="1"/>
  <c r="H4" i="15" a="1"/>
  <c r="H4" i="15" s="1"/>
  <c r="L8" i="15" a="1"/>
  <c r="L8" i="15" s="1"/>
  <c r="G23" i="15" a="1"/>
  <c r="G23" i="15" s="1"/>
  <c r="I16" i="15" a="1"/>
  <c r="I16" i="15" s="1"/>
  <c r="M4" i="15" a="1"/>
  <c r="M4" i="15" s="1"/>
  <c r="G6" i="11"/>
  <c r="J5" i="15" a="1"/>
  <c r="J5" i="15" s="1"/>
  <c r="H65" i="12"/>
  <c r="I65" i="12" s="1"/>
  <c r="J65" i="12" s="1"/>
  <c r="L52" i="12"/>
  <c r="K54" i="12"/>
  <c r="L53" i="12"/>
  <c r="M19" i="15"/>
  <c r="L29" i="15"/>
  <c r="K19" i="15"/>
  <c r="L19" i="15"/>
  <c r="J62" i="12" a="1"/>
  <c r="J62" i="12" s="1"/>
  <c r="U103" i="4"/>
  <c r="J59" i="12" a="1"/>
  <c r="J59" i="12" s="1"/>
  <c r="J64" i="12" a="1"/>
  <c r="J64" i="12" s="1"/>
  <c r="J60" i="12" a="1"/>
  <c r="J60" i="12" s="1"/>
  <c r="J63" i="12" a="1"/>
  <c r="J63" i="12" s="1"/>
  <c r="J61" i="12" a="1"/>
  <c r="J61" i="12" s="1"/>
  <c r="L48" i="12"/>
  <c r="E54" i="12"/>
  <c r="J54" i="12"/>
  <c r="G54" i="12"/>
  <c r="H54" i="12"/>
  <c r="L49" i="12"/>
  <c r="I54" i="12"/>
  <c r="M29" i="15"/>
  <c r="F54" i="12"/>
  <c r="K29" i="15"/>
  <c r="L50" i="12"/>
  <c r="L51" i="12"/>
  <c r="K41" i="15" l="1"/>
  <c r="N28" i="15"/>
  <c r="N17" i="15"/>
  <c r="N24" i="15"/>
  <c r="N23" i="15"/>
  <c r="N25" i="15"/>
  <c r="N6" i="15"/>
  <c r="I29" i="15"/>
  <c r="J9" i="15"/>
  <c r="H29" i="15"/>
  <c r="G9" i="15"/>
  <c r="M9" i="15"/>
  <c r="J29" i="15"/>
  <c r="N27" i="15"/>
  <c r="H19" i="15"/>
  <c r="L9" i="15"/>
  <c r="N18" i="15"/>
  <c r="J19" i="15"/>
  <c r="H9" i="15"/>
  <c r="N15" i="15"/>
  <c r="I19" i="15"/>
  <c r="N8" i="15"/>
  <c r="K9" i="15"/>
  <c r="N26" i="15"/>
  <c r="N14" i="15"/>
  <c r="N13" i="15"/>
  <c r="N3" i="15"/>
  <c r="I9" i="15"/>
  <c r="G19" i="15"/>
  <c r="N7" i="15"/>
  <c r="N4" i="15"/>
  <c r="N5" i="15"/>
  <c r="G29" i="15"/>
  <c r="N16" i="15"/>
  <c r="K37" i="15"/>
  <c r="J42" i="15"/>
  <c r="J43" i="15" s="1"/>
  <c r="K40" i="15"/>
  <c r="K39" i="15"/>
  <c r="L54" i="12"/>
  <c r="H42" i="15"/>
  <c r="H43" i="15" s="1"/>
  <c r="K38" i="15"/>
  <c r="G42" i="15"/>
  <c r="G43" i="15" s="1"/>
  <c r="K36" i="15"/>
  <c r="I42" i="15"/>
  <c r="I43" i="15" s="1"/>
  <c r="K43" i="15" l="1"/>
  <c r="M44" i="15" s="1"/>
  <c r="K42" i="15"/>
  <c r="M43" i="15" s="1"/>
  <c r="N29" i="15"/>
  <c r="N19" i="15"/>
  <c r="N9" i="15"/>
  <c r="N32" i="15" l="1"/>
</calcChain>
</file>

<file path=xl/sharedStrings.xml><?xml version="1.0" encoding="utf-8"?>
<sst xmlns="http://schemas.openxmlformats.org/spreadsheetml/2006/main" count="2693" uniqueCount="744">
  <si>
    <t>Type</t>
  </si>
  <si>
    <t>Rarity</t>
  </si>
  <si>
    <t>Illiris</t>
  </si>
  <si>
    <t>Cardassian</t>
  </si>
  <si>
    <t>U</t>
  </si>
  <si>
    <t>Subspace Deflector</t>
  </si>
  <si>
    <t>Glinn Telle</t>
  </si>
  <si>
    <t>Crew</t>
  </si>
  <si>
    <t>Torpedo</t>
  </si>
  <si>
    <t>Vri'Dis</t>
  </si>
  <si>
    <t>C</t>
  </si>
  <si>
    <t>Gul Lemec</t>
  </si>
  <si>
    <t>6th Order</t>
  </si>
  <si>
    <t>Improved Tracking</t>
  </si>
  <si>
    <t>Intel Gatherer</t>
  </si>
  <si>
    <t>Assault Commander</t>
  </si>
  <si>
    <t>Inertial Dampers</t>
  </si>
  <si>
    <t>R</t>
  </si>
  <si>
    <t>Vasad</t>
  </si>
  <si>
    <t>Deflector Field</t>
  </si>
  <si>
    <t>Assault Team</t>
  </si>
  <si>
    <t>Security</t>
  </si>
  <si>
    <t>Scenario</t>
  </si>
  <si>
    <t>Heavy Disruptors</t>
  </si>
  <si>
    <t>T'Rul</t>
  </si>
  <si>
    <t>Medical Team</t>
  </si>
  <si>
    <t>Romulan</t>
  </si>
  <si>
    <t>Type III Cloak</t>
  </si>
  <si>
    <t>Subspace Encryption</t>
  </si>
  <si>
    <t>Adm. Pressman</t>
  </si>
  <si>
    <t>Federation</t>
  </si>
  <si>
    <t>Tachyon Grid</t>
  </si>
  <si>
    <t>Vis</t>
  </si>
  <si>
    <t>Ferengi</t>
  </si>
  <si>
    <t>Lenarian Phaser</t>
  </si>
  <si>
    <t>Daimon Bok</t>
  </si>
  <si>
    <t>Lampta</t>
  </si>
  <si>
    <t>Antedean Phasers</t>
  </si>
  <si>
    <t>Daimon Lurin</t>
  </si>
  <si>
    <t>Kraagar</t>
  </si>
  <si>
    <t>Ishka</t>
  </si>
  <si>
    <t>Acquisition Team</t>
  </si>
  <si>
    <t>Adm. Jarok</t>
  </si>
  <si>
    <t>Output Enhancer</t>
  </si>
  <si>
    <t>Tovas</t>
  </si>
  <si>
    <t>Reinforced Hull</t>
  </si>
  <si>
    <t>Elite Security</t>
  </si>
  <si>
    <t>Extra Torpedo Bay</t>
  </si>
  <si>
    <t>Dhael</t>
  </si>
  <si>
    <t>Type II Cloak</t>
  </si>
  <si>
    <t>Life Support Engineer</t>
  </si>
  <si>
    <t>Talen</t>
  </si>
  <si>
    <t>Subcdr N'Vek</t>
  </si>
  <si>
    <t>Disruptor Rifles</t>
  </si>
  <si>
    <t>Berik</t>
  </si>
  <si>
    <t>Negotiations Agent</t>
  </si>
  <si>
    <t>Zalkonian Projector</t>
  </si>
  <si>
    <t>Financial Aide</t>
  </si>
  <si>
    <t>Interphasic Transporter</t>
  </si>
  <si>
    <t>Director</t>
  </si>
  <si>
    <t>Imperial Engineer</t>
  </si>
  <si>
    <t>Enhanced Sensors</t>
  </si>
  <si>
    <t>Advanced Tracking</t>
  </si>
  <si>
    <t>Tomalak</t>
  </si>
  <si>
    <t>Vental</t>
  </si>
  <si>
    <t>Field Agent</t>
  </si>
  <si>
    <t>IKS Ightal</t>
  </si>
  <si>
    <t>Tachyon Sensors</t>
  </si>
  <si>
    <t>Klingon</t>
  </si>
  <si>
    <t>IKS Qo'Rok</t>
  </si>
  <si>
    <t>Dual Disruptors</t>
  </si>
  <si>
    <t>IKS Dok'Vas</t>
  </si>
  <si>
    <t>IKS Bortas</t>
  </si>
  <si>
    <t>Klag</t>
  </si>
  <si>
    <t>Helmsman</t>
  </si>
  <si>
    <t>Advanced Strike Team</t>
  </si>
  <si>
    <t>Heavy Security</t>
  </si>
  <si>
    <t>Ja'Laroq</t>
  </si>
  <si>
    <t>Starboard Gunner</t>
  </si>
  <si>
    <t>Helmsman K'Lor</t>
  </si>
  <si>
    <t>Engineer Squad</t>
  </si>
  <si>
    <t>Heavy Strike Team</t>
  </si>
  <si>
    <t>Flight Control</t>
  </si>
  <si>
    <t>Dr. Crusher</t>
  </si>
  <si>
    <t>Elite Away Team</t>
  </si>
  <si>
    <t>Stellar Cartography</t>
  </si>
  <si>
    <t>Ops Officer</t>
  </si>
  <si>
    <t>Pattern Enhancer</t>
  </si>
  <si>
    <t>Neela Daren</t>
  </si>
  <si>
    <t>Enhanced Torpedo Bay</t>
  </si>
  <si>
    <t>Cpt. Picard</t>
  </si>
  <si>
    <t>Pulse Phasers</t>
  </si>
  <si>
    <t>Rapid Response Officer</t>
  </si>
  <si>
    <t>Kolrami</t>
  </si>
  <si>
    <t>Transwarp Drive</t>
  </si>
  <si>
    <t>Tactical Specialist</t>
  </si>
  <si>
    <t>Heavy Torpedo Bay</t>
  </si>
  <si>
    <t>Co-Intel Operative</t>
  </si>
  <si>
    <t>Bat'leths</t>
  </si>
  <si>
    <t>Port Gunner</t>
  </si>
  <si>
    <t>IKS Po'Kat</t>
  </si>
  <si>
    <t>Demon Claws!</t>
  </si>
  <si>
    <t>Order of the Bat'leth</t>
  </si>
  <si>
    <t>Extra Disruptor Battery</t>
  </si>
  <si>
    <t>Khor'Tal</t>
  </si>
  <si>
    <t>Shield Dissembler</t>
  </si>
  <si>
    <t>Pulse Disruptors</t>
  </si>
  <si>
    <t>Order of Tong Vey</t>
  </si>
  <si>
    <t>P'Tach</t>
  </si>
  <si>
    <t>Rozhenko</t>
  </si>
  <si>
    <t>IKS M'Char</t>
  </si>
  <si>
    <t>Toq</t>
  </si>
  <si>
    <t>Voln</t>
  </si>
  <si>
    <t>Ensign Crusher</t>
  </si>
  <si>
    <t>Phaser Rifles</t>
  </si>
  <si>
    <t>Weapons Officer</t>
  </si>
  <si>
    <t>Pinpoint Targeter</t>
  </si>
  <si>
    <t>Krayton</t>
  </si>
  <si>
    <t>Daimon Birta</t>
  </si>
  <si>
    <t>Bractor</t>
  </si>
  <si>
    <t>Letek</t>
  </si>
  <si>
    <t>Tholian Shields</t>
  </si>
  <si>
    <t>Biological Engineer</t>
  </si>
  <si>
    <t>Type I Cloak</t>
  </si>
  <si>
    <t>Centurion Parenn</t>
  </si>
  <si>
    <t>Taibek</t>
  </si>
  <si>
    <t>Tal Diann Engineer</t>
  </si>
  <si>
    <t>Advanced Transporter</t>
  </si>
  <si>
    <t>Industrial Replicator</t>
  </si>
  <si>
    <t>Heavy Away Team</t>
  </si>
  <si>
    <t>Sir'Vis</t>
  </si>
  <si>
    <t>Tactical Team</t>
  </si>
  <si>
    <t>IKS Geth'Choq</t>
  </si>
  <si>
    <t>Drex</t>
  </si>
  <si>
    <t>Strike Team</t>
  </si>
  <si>
    <t>Dual Phaser Banks</t>
  </si>
  <si>
    <t>Transport Refit</t>
  </si>
  <si>
    <t>Away Team</t>
  </si>
  <si>
    <t>Legate Ghemor</t>
  </si>
  <si>
    <t>Cost</t>
  </si>
  <si>
    <t>Keywords</t>
  </si>
  <si>
    <t>Bridge Crew, Admiral, Unique</t>
  </si>
  <si>
    <t>Armada: Ships may ignore the effects of Intel Crew</t>
  </si>
  <si>
    <t>None</t>
  </si>
  <si>
    <t>Fleet: +1 Maximum Speed</t>
  </si>
  <si>
    <t>Gul Batak</t>
  </si>
  <si>
    <t>Na'Tal</t>
  </si>
  <si>
    <t>Start: -1 to cost of Torpedo Upgrade Tech</t>
  </si>
  <si>
    <t>May Execute a Change Heading Order immediately after taking damage</t>
  </si>
  <si>
    <t>+3 Command</t>
  </si>
  <si>
    <t>Speed</t>
  </si>
  <si>
    <t>Auxiliary Plasma Bank</t>
  </si>
  <si>
    <t>Sacrifice: Ignore up to 3 hits</t>
  </si>
  <si>
    <t>+1 Torpedo Speed</t>
  </si>
  <si>
    <t>Upgrade Torpedo</t>
  </si>
  <si>
    <t>Change Speed: Set speed to any speed up to maximum speed</t>
  </si>
  <si>
    <t>+1 Torpedo Damage</t>
  </si>
  <si>
    <t>Sacrifice: Ignore Damage from 1 Torpedo</t>
  </si>
  <si>
    <t>Boarding: You win ties during combat</t>
  </si>
  <si>
    <t>+5 Command while on enemy ships</t>
  </si>
  <si>
    <t>Cdr. Hadar</t>
  </si>
  <si>
    <t>Obsidian Order, Security, Unique</t>
  </si>
  <si>
    <t>Divinn</t>
  </si>
  <si>
    <t>Activate Crew/Tech: Remove a Crit</t>
  </si>
  <si>
    <t>Engineer, Unique</t>
  </si>
  <si>
    <t>Activate Crew/Tech: Target of your choice must reveal all orders</t>
  </si>
  <si>
    <t>Obsidian Order</t>
  </si>
  <si>
    <t>Bridge Crew, Ops Officer, Unique</t>
  </si>
  <si>
    <t>Change Heading: Execute order at any time during movement</t>
  </si>
  <si>
    <t>Bridge Crew, Flight Control, Unique</t>
  </si>
  <si>
    <t>Xenotactics Specialist</t>
  </si>
  <si>
    <t>Tac Officer</t>
  </si>
  <si>
    <t>Bridge Crew, First Officer, Unique</t>
  </si>
  <si>
    <t>Elite Assault Team</t>
  </si>
  <si>
    <t>Away Team, Unique</t>
  </si>
  <si>
    <t>Sacrifice: Instantly move anywhere within 2 beam ranges</t>
  </si>
  <si>
    <t>Upgrade</t>
  </si>
  <si>
    <t>Ready a Crew, Flip</t>
  </si>
  <si>
    <t>Remove a Life Support Crit, Flip</t>
  </si>
  <si>
    <t>Engineer</t>
  </si>
  <si>
    <t>Activate Crew/Tech: Gain the Special ability of a Tech in play until end of turn</t>
  </si>
  <si>
    <t>Fleet: Change Speed: ships may change speed by up to 3</t>
  </si>
  <si>
    <t>Fleet: Start: +2 Cap</t>
  </si>
  <si>
    <t>Bridge Crew, Unique</t>
  </si>
  <si>
    <t>Start: Add 5 points of Tech from any Non-Romulan race</t>
  </si>
  <si>
    <t>USS Appalachia NCC-52136</t>
  </si>
  <si>
    <t>USS Endeavor NCC-71805</t>
  </si>
  <si>
    <t>USS Enterprise NCC-1701-D</t>
  </si>
  <si>
    <t>USS Excaliber NCC-26517</t>
  </si>
  <si>
    <t>USS Yamato NCC-71807</t>
  </si>
  <si>
    <t>USS Yeager NCC-61947</t>
  </si>
  <si>
    <t>Start: +1 Torp for every point of unused cap</t>
  </si>
  <si>
    <t>USS Agamemnon NCC-11638</t>
  </si>
  <si>
    <t>May execute a Change Heading Order immediately after any Change Speed Order</t>
  </si>
  <si>
    <t>D'Delean Command</t>
  </si>
  <si>
    <t>D'Stelen Preatorian</t>
  </si>
  <si>
    <t>Start: -1 to cost of all other T'Rasus-Class ships in Fleet</t>
  </si>
  <si>
    <t>Marilon Kassus</t>
  </si>
  <si>
    <t>T'Deret Command</t>
  </si>
  <si>
    <t>T'Laratex Tullan</t>
  </si>
  <si>
    <t>Vathos Tullan</t>
  </si>
  <si>
    <t>Visen Kassus</t>
  </si>
  <si>
    <t>Any</t>
  </si>
  <si>
    <t>Special</t>
  </si>
  <si>
    <t>Bridge Crew, Captain, Unique</t>
  </si>
  <si>
    <t>Upgrade Beam Weapon</t>
  </si>
  <si>
    <t>Change Speed: Ship may change speed by up to 3</t>
  </si>
  <si>
    <t>Advanced Tac Team</t>
  </si>
  <si>
    <t>Adm. Mendak</t>
  </si>
  <si>
    <t>Armada: +2 Command</t>
  </si>
  <si>
    <t>Cdr. Tebok</t>
  </si>
  <si>
    <t>Cdr. Toreth</t>
  </si>
  <si>
    <t>Tal Shiar, Unique</t>
  </si>
  <si>
    <t>Away Team, Tal Diann</t>
  </si>
  <si>
    <t>Activate Crew/Tech: Remove an Engineering Crit</t>
  </si>
  <si>
    <t>Activate Crew/Tech: Remove a Life Support Crit</t>
  </si>
  <si>
    <t>Away Team, Medical</t>
  </si>
  <si>
    <t>Change Heading: Execute Order at any point during movement</t>
  </si>
  <si>
    <t>Activate Crew/Tech: Ready a Tech</t>
  </si>
  <si>
    <t>Scientist, Unique</t>
  </si>
  <si>
    <t>Remove a Weapons Crit, Flip</t>
  </si>
  <si>
    <t>Tal Diann, Engineer</t>
  </si>
  <si>
    <t>Fleet: Change Speed: Ships may change speed by up to 3</t>
  </si>
  <si>
    <t>Activate Crew/Tech: Randomly choose next order for another player</t>
  </si>
  <si>
    <t>Tal Shiar, Psionic, Unique</t>
  </si>
  <si>
    <t>+1 Transporter Range</t>
  </si>
  <si>
    <t>Ship can detect Type I cloaked ships</t>
  </si>
  <si>
    <t>Upgrade Sensors</t>
  </si>
  <si>
    <t>Upgrade Transporter</t>
  </si>
  <si>
    <t>Start: +2 Torp</t>
  </si>
  <si>
    <t>+1 Maximum Speed</t>
  </si>
  <si>
    <t>Upgrade Engineering</t>
  </si>
  <si>
    <t>Start: +2 Hull</t>
  </si>
  <si>
    <t>Upgrade Structural</t>
  </si>
  <si>
    <t>+2 Torpedo Damage, +2 Torpedo Speed</t>
  </si>
  <si>
    <t>Triderium Shield Conduits</t>
  </si>
  <si>
    <t>Intel</t>
  </si>
  <si>
    <t>Cpt. Kurn</t>
  </si>
  <si>
    <t>Cpt. Nu'Daq</t>
  </si>
  <si>
    <t>Cpt. Nu'Pach</t>
  </si>
  <si>
    <t>Teams</t>
  </si>
  <si>
    <t>Players</t>
  </si>
  <si>
    <t>Factions</t>
  </si>
  <si>
    <t>6 to 8</t>
  </si>
  <si>
    <t>Romulan vs. Federation</t>
  </si>
  <si>
    <t>2 to 6</t>
  </si>
  <si>
    <t>Any vs. Any</t>
  </si>
  <si>
    <t>2 to 4</t>
  </si>
  <si>
    <t>Romulan vs. Any</t>
  </si>
  <si>
    <t>Federation vs. Any</t>
  </si>
  <si>
    <t>Cardassian vs. Any</t>
  </si>
  <si>
    <t>Ferengi vs. Any</t>
  </si>
  <si>
    <t>Klingon vs. Any</t>
  </si>
  <si>
    <t>4 to 6</t>
  </si>
  <si>
    <t>Klingon vs. Federation</t>
  </si>
  <si>
    <t>no limit</t>
  </si>
  <si>
    <t>Ferengi vs. Federation</t>
  </si>
  <si>
    <t>Personal</t>
  </si>
  <si>
    <t>+3 Combat value vs. Crew with no Personal Tech</t>
  </si>
  <si>
    <t>+2 Combat Value</t>
  </si>
  <si>
    <t>+2 Beam Weapon</t>
  </si>
  <si>
    <t>Enhanced Phase Disruptors</t>
  </si>
  <si>
    <t>+1 Beam Weapon</t>
  </si>
  <si>
    <t>+1 Beam Weapon Range</t>
  </si>
  <si>
    <t>Upgrade Shield</t>
  </si>
  <si>
    <t>Crit: If scored with Beam Weapon, you may immediately fire Beam Weapon again, Flip</t>
  </si>
  <si>
    <t>Shielded Warp Chamber</t>
  </si>
  <si>
    <t>You may transport to and from ships with current shields of 2 or less</t>
  </si>
  <si>
    <t>Boarding: Sacrifice: Kill up to 4 points of Away Team</t>
  </si>
  <si>
    <t>Security, Unique</t>
  </si>
  <si>
    <t>Save a Bridge Crew when suffering a Bridge Crit, Flip</t>
  </si>
  <si>
    <t>Gen. Korrd</t>
  </si>
  <si>
    <t>Gen. Martok</t>
  </si>
  <si>
    <t>Armada: Ships may immediately Raise Shields after transporting</t>
  </si>
  <si>
    <t>Armada: Start: +2 Cap to ships that have no Upgrade Tech</t>
  </si>
  <si>
    <t>Hearts of Targ!</t>
  </si>
  <si>
    <t>Boarding: Sacrifice: Kill up to 4 points of Security</t>
  </si>
  <si>
    <t>Bridge Crew, Flight Control</t>
  </si>
  <si>
    <t>Change your next order to Change Heading, Flip</t>
  </si>
  <si>
    <t>Activate Crew/Tech: Flip an opposing Crew</t>
  </si>
  <si>
    <t>Crit: Change Crit to Engineering Crit if Target doesn't have one</t>
  </si>
  <si>
    <t>Navigation Specialist</t>
  </si>
  <si>
    <t>Execute a Change Heading immediately after another player does, Flip</t>
  </si>
  <si>
    <t>Bridge Crew, Ops Officer</t>
  </si>
  <si>
    <t>Navigator Gorkh</t>
  </si>
  <si>
    <t>Change Heading: Execute Order at any point during Movement</t>
  </si>
  <si>
    <t>Start: Add 3 points of personal equipment</t>
  </si>
  <si>
    <t>Crit: Bridge Crits kill Security and Away Team Crew instead of Bridge Crew</t>
  </si>
  <si>
    <t>Bridge Crew, Gunner</t>
  </si>
  <si>
    <t>Crit: Change Crit to Life Support Crit if target doesn't have one</t>
  </si>
  <si>
    <t>Crit: Change Crit to Bridge Crit if Target doesn't have one</t>
  </si>
  <si>
    <t>Start: Add 7 points of Away Team Crew</t>
  </si>
  <si>
    <t>Away Team, Tac Officer, Unique</t>
  </si>
  <si>
    <t>Ablative Shields</t>
  </si>
  <si>
    <t>Auxiliary Shield Bank</t>
  </si>
  <si>
    <t>+2 Shields</t>
  </si>
  <si>
    <t>If you score 3 hits from Beam Weapon, you may immediately Fire again, Flip</t>
  </si>
  <si>
    <t>Ship suffers collision penalties only when colliding with other ships</t>
  </si>
  <si>
    <t>Upgrade Sensor</t>
  </si>
  <si>
    <t>Activate Crew/Tech: Change an order on another ship you control</t>
  </si>
  <si>
    <t>Ship can detect Type I Cloaked ships</t>
  </si>
  <si>
    <t>Start: +3 Cap</t>
  </si>
  <si>
    <t>Adm. Vaas</t>
  </si>
  <si>
    <t>Armada: Ships can detect Type I Cloaked ships</t>
  </si>
  <si>
    <t>Cdr. Riker</t>
  </si>
  <si>
    <t>Cdr. Troi</t>
  </si>
  <si>
    <t>Activate Crew/Tech: 1 Player of your choice must reveal all Orders</t>
  </si>
  <si>
    <t>Cpt. Desoto</t>
  </si>
  <si>
    <t>Cpt. Jellico</t>
  </si>
  <si>
    <t>Fleet: +1 Beam Weapon</t>
  </si>
  <si>
    <t>Armada: Start: -1 to cost of Bridge Crew</t>
  </si>
  <si>
    <t>Save 8 points of Bridge Crew when suffering a Bridge Crit, Flip</t>
  </si>
  <si>
    <t>Medical, Unique</t>
  </si>
  <si>
    <t>Change Heading: Execute order at any point during movement</t>
  </si>
  <si>
    <t>Change an Order, Flip</t>
  </si>
  <si>
    <t>Strategist, Unique</t>
  </si>
  <si>
    <t>Lt. Barclay</t>
  </si>
  <si>
    <t>Lt. Cdr. Data</t>
  </si>
  <si>
    <t>Lt. Cdr. La Forge</t>
  </si>
  <si>
    <t>Medical</t>
  </si>
  <si>
    <t>Boarding: Move one Upgrade Tech to your ship, Flip</t>
  </si>
  <si>
    <t>Ops Specialist</t>
  </si>
  <si>
    <t>Activate Crew/Tech: Remove a Weapons Crit</t>
  </si>
  <si>
    <t>Boarding: You may increase the number of combat rounds by +1</t>
  </si>
  <si>
    <t>Rapid Response Medic</t>
  </si>
  <si>
    <t>Lt. Cdr. Worf</t>
  </si>
  <si>
    <t>Boarding: Return to play a Crew killed during Boarding, Flip</t>
  </si>
  <si>
    <t>Start: Add 7 points worth of Away Team</t>
  </si>
  <si>
    <t>Bridge Crew, Tac Officer, Unique</t>
  </si>
  <si>
    <t>Intel, Security, Unique</t>
  </si>
  <si>
    <t>Bridge Crew, Gunner, Unique</t>
  </si>
  <si>
    <t>Armada: +1 Beam Weapon, Hull, and Shields vs. Borg</t>
  </si>
  <si>
    <t>You may immediately Raise Shields after transporting</t>
  </si>
  <si>
    <t>Crew can transport back to its ship, regardless of shield status</t>
  </si>
  <si>
    <t>Ship is not destroyed by 2 of same Crit, but is destroyed by 3</t>
  </si>
  <si>
    <t>May carry torpedoes of any race</t>
  </si>
  <si>
    <t>Set shields to 2 immediately after suffering a shields Crit</t>
  </si>
  <si>
    <t>Cancel another players Attack order, Flip</t>
  </si>
  <si>
    <t>Fleet: Torpedoes can detect Type I Cloaked ships</t>
  </si>
  <si>
    <t>Treat Hull damage as Shield Damage for determining Crits</t>
  </si>
  <si>
    <t>Boarding: Opponent lose 2 Crew during Combat</t>
  </si>
  <si>
    <t>Ignore the effects of a Crit, Flip</t>
  </si>
  <si>
    <t>Ship's Torpedoes can detect Type I Cloaked Ships</t>
  </si>
  <si>
    <t>You may raise shields to 2 while suffering a shield Crit</t>
  </si>
  <si>
    <t>Mark III Torpedoes</t>
  </si>
  <si>
    <t>Engineering Specialist</t>
  </si>
  <si>
    <t>High-Yield Torpedoes</t>
  </si>
  <si>
    <t>Synchronized Shields</t>
  </si>
  <si>
    <t>High Energy Shields</t>
  </si>
  <si>
    <t>Incursion Specialist</t>
  </si>
  <si>
    <t>Incursion Vanguard</t>
  </si>
  <si>
    <t>Concentrated Disruptors</t>
  </si>
  <si>
    <t>Heavy Torpedoes</t>
  </si>
  <si>
    <t>Singularity Torpedoes</t>
  </si>
  <si>
    <t>Ship-Standard</t>
  </si>
  <si>
    <t>Ship-Small</t>
  </si>
  <si>
    <t>Ship-Large</t>
  </si>
  <si>
    <t>Start: Add 5 points of Intel Crew</t>
  </si>
  <si>
    <t>Boarding: Opponent loses 2 Crew during combat</t>
  </si>
  <si>
    <t>Ready a Crew, flip</t>
  </si>
  <si>
    <t>Reveal/Conceal: Gain the Special ability of another Crew until the end of the turn</t>
  </si>
  <si>
    <t>Boarding: Kill all opponent's Flipped Crew, Flip</t>
  </si>
  <si>
    <t>Start: -1 to cost of Away Team and Security Crew</t>
  </si>
  <si>
    <t>Armada: Start: -1 to cost of Intel Crew</t>
  </si>
  <si>
    <t>You may Reveal/Conceal Crew after any order</t>
  </si>
  <si>
    <t>Once per game, move any Crew in game with Command 4 or less to your ship</t>
  </si>
  <si>
    <t>Boarding: when Killed, Kill an opposing Crew</t>
  </si>
  <si>
    <t>Boarding: Return to play a Crew killed during boarding, Flip</t>
  </si>
  <si>
    <t>Start: Add 3 points of Upgrade Tech to each ship in Fleet</t>
  </si>
  <si>
    <t>Start: Add 3 points of personal Tech</t>
  </si>
  <si>
    <t>Start: You may trade purchased Tech with Non-Romulan players</t>
  </si>
  <si>
    <t>Start: you may purchase Tech of any non-Romulan race</t>
  </si>
  <si>
    <t>Start: -1 to cost of Beam Weapon Upgrade Tech</t>
  </si>
  <si>
    <t>Start: +3 cap if Appalachia has no Upgrade Tech</t>
  </si>
  <si>
    <t>Start: -1 to cost of sensor Upgrade Tech</t>
  </si>
  <si>
    <t>Activate Crew/Tech: Return to play a destroyed Upgrade Tech</t>
  </si>
  <si>
    <t>Start: -1 to cost of shield Upgrade Tech</t>
  </si>
  <si>
    <t>Start: -1 to cost of transporter Upgrade Tech</t>
  </si>
  <si>
    <t>Start: +3 Cap if Vathos has no Upgrade Tech</t>
  </si>
  <si>
    <t>You may transport to and from ships in your Fleet, regardless of shield status</t>
  </si>
  <si>
    <t>Start: Add 5 points of Beam Weapon Upgrade Tech if M'Char has no security or Away Team Crew</t>
  </si>
  <si>
    <t>Start: -1 to cost of Weapon Upgrade Tech</t>
  </si>
  <si>
    <t>Disable torpedoes instead of Beam Weapons when suffering a Weapons Crit</t>
  </si>
  <si>
    <t>Treat Hull damage as shield damage for determining Crits</t>
  </si>
  <si>
    <t>Engineering Crits do not affect sensor Upgrade Tech</t>
  </si>
  <si>
    <t>Engineering Crits do not affect structural Upgrade Tech</t>
  </si>
  <si>
    <t>Engineering Crits do not affect Beam Weapon Upgrade Tech</t>
  </si>
  <si>
    <t>Engineering Crits do not affect torpedo Upgrade Tech</t>
  </si>
  <si>
    <t>Activate Crew/Tech: Target cannot remove Crits, Constant</t>
  </si>
  <si>
    <t>Weapons Crits only cause -2 Beam Weapon</t>
  </si>
  <si>
    <t>Elite Acqusitions</t>
  </si>
  <si>
    <t>Barolian Sensors</t>
  </si>
  <si>
    <t>Gul Macet</t>
  </si>
  <si>
    <t>Plasma Bank Upgrade</t>
  </si>
  <si>
    <t>Toran</t>
  </si>
  <si>
    <t>Joret Dal</t>
  </si>
  <si>
    <t>Di'Ruul</t>
  </si>
  <si>
    <t>Energy Whip</t>
  </si>
  <si>
    <t>Breen Disruptor</t>
  </si>
  <si>
    <t>+3 Beam Weapon</t>
  </si>
  <si>
    <t>IKS Negh'Var</t>
  </si>
  <si>
    <t>N/A</t>
  </si>
  <si>
    <t>Supplies</t>
  </si>
  <si>
    <t>Shields/ Command</t>
  </si>
  <si>
    <t>Hull/ Damage</t>
  </si>
  <si>
    <t>Beam/ Order 1</t>
  </si>
  <si>
    <t>Torp/ Order 2</t>
  </si>
  <si>
    <t>Cap/ Order 3</t>
  </si>
  <si>
    <t>ACT</t>
  </si>
  <si>
    <t>CH</t>
  </si>
  <si>
    <t>CH, ACT</t>
  </si>
  <si>
    <t>CS</t>
  </si>
  <si>
    <t>RS, ACT</t>
  </si>
  <si>
    <t>RS, CS</t>
  </si>
  <si>
    <t>RS</t>
  </si>
  <si>
    <t>ACT, RS</t>
  </si>
  <si>
    <t>RS, CH</t>
  </si>
  <si>
    <t>A, CS</t>
  </si>
  <si>
    <t>A, RS</t>
  </si>
  <si>
    <t>A, A</t>
  </si>
  <si>
    <t>A, ACT</t>
  </si>
  <si>
    <t>A</t>
  </si>
  <si>
    <t>A, CH</t>
  </si>
  <si>
    <t>CH, A</t>
  </si>
  <si>
    <t>RS, A</t>
  </si>
  <si>
    <t>Asset Mgr Sorvak</t>
  </si>
  <si>
    <t>Start: -1 to cost of Upgrade Tech</t>
  </si>
  <si>
    <t>You may immediately Raise Sheilds after transporting</t>
  </si>
  <si>
    <t>Security, Unlimited</t>
  </si>
  <si>
    <t>Away Team, Unlimited</t>
  </si>
  <si>
    <t>Armada: Start: -1 to cost of Tech</t>
  </si>
  <si>
    <t>Fleet: Ships can detect Type I Cloaked ships</t>
  </si>
  <si>
    <t>Boarding: You may increase the number of rounds by +1</t>
  </si>
  <si>
    <t>Ship</t>
  </si>
  <si>
    <t>Crew/Tech</t>
  </si>
  <si>
    <t>Flat</t>
  </si>
  <si>
    <t>E</t>
  </si>
  <si>
    <t>Obstruction</t>
  </si>
  <si>
    <t>TOTAL</t>
  </si>
  <si>
    <t>Cardassian vs. Klingon</t>
  </si>
  <si>
    <t>Borg vs. Any</t>
  </si>
  <si>
    <t>Points</t>
  </si>
  <si>
    <t>1 to 6</t>
  </si>
  <si>
    <t>Case</t>
  </si>
  <si>
    <t>Unpunched</t>
  </si>
  <si>
    <t>one obstruction and one alien disc</t>
  </si>
  <si>
    <t>one obstruction and one orbital canon disc</t>
  </si>
  <si>
    <t>Disc Type</t>
  </si>
  <si>
    <t>Disc Title</t>
  </si>
  <si>
    <t>(none)</t>
  </si>
  <si>
    <t>Kagor-Class Battleship, Flagship, Unique</t>
  </si>
  <si>
    <t>Mithras-class Escort, Unique</t>
  </si>
  <si>
    <t>Guran-Class Attack Ship, Unique</t>
  </si>
  <si>
    <t>Aberax-Class Destroyer, Unique</t>
  </si>
  <si>
    <t>Keldon-Class Warship, Unique</t>
  </si>
  <si>
    <t>Apollo-Class Light Cruiser, Unique</t>
  </si>
  <si>
    <t>Steamrunner-Class Frigate, Unique</t>
  </si>
  <si>
    <t>Nebula-Class Cruiser, Unique</t>
  </si>
  <si>
    <t>Galaxy-Class Explorer, Flagship, Unique</t>
  </si>
  <si>
    <t>Ambassador-Class Explorer, Unique</t>
  </si>
  <si>
    <t>Galaxy-Class Explorer, Unique</t>
  </si>
  <si>
    <t>Saber-Class Light Cruiser, Unique</t>
  </si>
  <si>
    <t>Gu'Bok-Class Heavy Cruiser, Flagship, Unique</t>
  </si>
  <si>
    <t>To'Piln-Class Heavy Escort, Unique</t>
  </si>
  <si>
    <t>D'Kora-Class Cruiser, Unique</t>
  </si>
  <si>
    <t>Hemba-Class Destroyer, Unique</t>
  </si>
  <si>
    <t>Kingal-Class Cruiser, Unique</t>
  </si>
  <si>
    <t>Neg/Var-Class Battleship, Flagship, Unique</t>
  </si>
  <si>
    <t>B'Rel-Class Scout, Unique</t>
  </si>
  <si>
    <t>Vor'Cha-Class Cruiser, Unique</t>
  </si>
  <si>
    <t>K'Mpec-Class Hvy Warship, Unique</t>
  </si>
  <si>
    <t>Pa'Chag-Class Cruiser, Unique</t>
  </si>
  <si>
    <t>Tro'Qa-Class Destroyer, Unique</t>
  </si>
  <si>
    <t>Kel'Var-Class Frigate, Unique</t>
  </si>
  <si>
    <t>D'Deridex-Class Warbird, Flagship, Unique</t>
  </si>
  <si>
    <t>Meret-Class Cruiser, Unique</t>
  </si>
  <si>
    <t>T'Rasus-Class Cruiser, Unique</t>
  </si>
  <si>
    <t>D'Virin-Class Frigate, Unique</t>
  </si>
  <si>
    <t>Unique</t>
  </si>
  <si>
    <t>Vacet</t>
  </si>
  <si>
    <t>The Enemy</t>
  </si>
  <si>
    <t>The Neutral Zone</t>
  </si>
  <si>
    <t>The Siege at Vulcan</t>
  </si>
  <si>
    <t>Derelict</t>
  </si>
  <si>
    <t>A Wrinkle in Time</t>
  </si>
  <si>
    <t>The Gauntlet</t>
  </si>
  <si>
    <t>Incursion!</t>
  </si>
  <si>
    <t>Booby Trap</t>
  </si>
  <si>
    <t>Come Out, Come Out…</t>
  </si>
  <si>
    <t>The 34th Rule of Acquisition</t>
  </si>
  <si>
    <t>Against the Borg</t>
  </si>
  <si>
    <t>Blood and Honor</t>
  </si>
  <si>
    <t>The Probe</t>
  </si>
  <si>
    <t>The Howling Storm</t>
  </si>
  <si>
    <t>Barradas Gambit</t>
  </si>
  <si>
    <t>Silicon Avatar</t>
  </si>
  <si>
    <t>The Last Outpost</t>
  </si>
  <si>
    <t>Enemy of the Empire</t>
  </si>
  <si>
    <t>Some starter flats don't appear in this list because they contain no crew, tech, ship, or scenario discs</t>
  </si>
  <si>
    <t>starter</t>
  </si>
  <si>
    <t>booster</t>
  </si>
  <si>
    <t>each</t>
  </si>
  <si>
    <t>total</t>
  </si>
  <si>
    <t>boxes per display</t>
  </si>
  <si>
    <t>displays per case</t>
  </si>
  <si>
    <t>packs per display</t>
  </si>
  <si>
    <t>distribution</t>
  </si>
  <si>
    <t>Starters printed</t>
  </si>
  <si>
    <t>Boosters printed</t>
  </si>
  <si>
    <t>total flats printed</t>
  </si>
  <si>
    <t>Cdr. Data can continue to copy a crew's ability if they have departed the ship or been killed, but cannot change to the ability of a departed or deceased crew.</t>
  </si>
  <si>
    <t/>
  </si>
  <si>
    <t>Discs that grant "free" tech or crew only let it be purchased at zero cost, the crew / tech still counts toward the ship's capacity.</t>
  </si>
  <si>
    <t>Ramming is not a strategy, it's a punishment for poor navigation.  It's not intended to be an option worth considering, so stop complaining that it sucks when you do it.  It sucks because it's supposed to suck.</t>
  </si>
  <si>
    <t>Unless otherwise stated on the scenario disc, obstructions do a fixed 2 pts of damage to hull and mines do a fixed 4 pts of damage to hull.</t>
  </si>
  <si>
    <t>Shield crits do not drop your shields, they only prevent you from raising them back up to full strength again. (by any means)</t>
  </si>
  <si>
    <t>(such as ship orders flats)</t>
  </si>
  <si>
    <t>packs</t>
  </si>
  <si>
    <t>type</t>
  </si>
  <si>
    <t>starter ship</t>
  </si>
  <si>
    <t>starter commands</t>
  </si>
  <si>
    <t>starter scenario</t>
  </si>
  <si>
    <t>an obstacle / range guide flat,</t>
  </si>
  <si>
    <t>an orders / torpedoes / commands flat,</t>
  </si>
  <si>
    <t>printed</t>
  </si>
  <si>
    <t>variety</t>
  </si>
  <si>
    <t>rare</t>
  </si>
  <si>
    <t>uncommon</t>
  </si>
  <si>
    <t>common</t>
  </si>
  <si>
    <t>starter CP discs</t>
  </si>
  <si>
    <t>starter crew / tech</t>
  </si>
  <si>
    <t>(there is no common or uncommon flat that is known to be exclusive or more likely to be found in a booster or starter)</t>
  </si>
  <si>
    <t>total flats in starters</t>
  </si>
  <si>
    <t>total flats in boosters</t>
  </si>
  <si>
    <t>However, they can be obtained with certainty in their starter box and so don't have to be searched for.</t>
  </si>
  <si>
    <t>These special materials included game demonstration event flyers, sign-up sheets, and heavy paper certificates of completion.</t>
  </si>
  <si>
    <t>http://memory-alpha.wikia.com/wiki/Star_Trek:_Red_Alert!</t>
  </si>
  <si>
    <t>https://www.nobleknight.com/ViewProducts.asp_Q_ProductLineID_E_2137421404_A_ManufacturerID_E_24_A_CategoryID_E_0_A_GenreID_E_72</t>
  </si>
  <si>
    <t>http://redalert.vftp.net</t>
  </si>
  <si>
    <t>https://boardgamegeek.com/boardgame/769/star-trek-red-alert</t>
  </si>
  <si>
    <t>Useful links, most are not actively maintained:</t>
  </si>
  <si>
    <t>group</t>
  </si>
  <si>
    <t>printed x</t>
  </si>
  <si>
    <t>unpunched flats</t>
  </si>
  <si>
    <t>Dup Unique</t>
  </si>
  <si>
    <t>Shield</t>
  </si>
  <si>
    <t>Engineering</t>
  </si>
  <si>
    <t>Sensor</t>
  </si>
  <si>
    <t>Transporter</t>
  </si>
  <si>
    <t>Structural</t>
  </si>
  <si>
    <t>Beam Weapon</t>
  </si>
  <si>
    <t>Station</t>
  </si>
  <si>
    <t>Strategist</t>
  </si>
  <si>
    <t>Bridge Crew</t>
  </si>
  <si>
    <t>Scientist</t>
  </si>
  <si>
    <t>First Officer</t>
  </si>
  <si>
    <t>Captain</t>
  </si>
  <si>
    <t>Admiral</t>
  </si>
  <si>
    <t>Unpunched Flats</t>
  </si>
  <si>
    <t>Gunner</t>
  </si>
  <si>
    <t>bridge Crew</t>
  </si>
  <si>
    <t>away Team</t>
  </si>
  <si>
    <t>Tal Diann</t>
  </si>
  <si>
    <t>Job/System</t>
  </si>
  <si>
    <t>Discipline</t>
  </si>
  <si>
    <t>Tal Shiar</t>
  </si>
  <si>
    <t>Psionic</t>
  </si>
  <si>
    <t>Arsenal of Freedom</t>
  </si>
  <si>
    <t>Listening Post</t>
  </si>
  <si>
    <t>Punched</t>
  </si>
  <si>
    <t>Total</t>
  </si>
  <si>
    <t>Notes</t>
  </si>
  <si>
    <t>Y</t>
  </si>
  <si>
    <t>My Duplicate Unique Punched Discs:</t>
  </si>
  <si>
    <t>My Punched Discs:</t>
  </si>
  <si>
    <t>"There are 20 different Rare flats, each of which was printed 3,000 times, for a total manufacture of 60,000 Rare flats."</t>
  </si>
  <si>
    <t>by rarity:</t>
  </si>
  <si>
    <t>Other</t>
  </si>
  <si>
    <t>(includes unpunched and punched)</t>
  </si>
  <si>
    <t>Faction</t>
  </si>
  <si>
    <t>Variety by Faction:</t>
  </si>
  <si>
    <t>Discs</t>
  </si>
  <si>
    <t>Flats</t>
  </si>
  <si>
    <t>total punched discs</t>
  </si>
  <si>
    <t>My Discs:</t>
  </si>
  <si>
    <t>(includes unpunched and dups)</t>
  </si>
  <si>
    <t>(includes duplicates)</t>
  </si>
  <si>
    <t>total discs</t>
  </si>
  <si>
    <t>total dup discs</t>
  </si>
  <si>
    <t>My flats by Faction and Rarity:</t>
  </si>
  <si>
    <t>Regular</t>
  </si>
  <si>
    <t>total regular disc variety</t>
  </si>
  <si>
    <t>does not include obstacles, ship titles, distance rulers, torpedoes, or other special discs</t>
  </si>
  <si>
    <t>discs</t>
  </si>
  <si>
    <t>total disc</t>
  </si>
  <si>
    <t>total flat</t>
  </si>
  <si>
    <t>This is in addition to control panel, obstacle, torpedo, range, and other scenario-specific discs.</t>
  </si>
  <si>
    <t>It appears that they expected new players to purchase two starters and three boosters, as that was the ratio in which they were printed. (2:3)</t>
  </si>
  <si>
    <t>Trivia:</t>
  </si>
  <si>
    <t>This license was bought out from under them by WoTC, the host of their last and most successful demo, who promptly buried it instead of using it to continue the game.</t>
  </si>
  <si>
    <t>Although the game was in full production, was well-received, and had performend several very successful demos, it was cancelled less than 30 days after</t>
  </si>
  <si>
    <t>it was officially releaed because they were unable to renew their license for Star Trek gaming content.</t>
  </si>
  <si>
    <t>Opened and occasionally sealed starter and booster boxes do show up on eBay from time to time, as well as player collections of punched and used discs.</t>
  </si>
  <si>
    <t>Disc printing errors:</t>
  </si>
  <si>
    <t>Tote</t>
  </si>
  <si>
    <t>in the Tote box</t>
  </si>
  <si>
    <t>in the Play box</t>
  </si>
  <si>
    <t>Additional Discs</t>
  </si>
  <si>
    <t>cases</t>
  </si>
  <si>
    <t>a specific scenario flat (most with a few obstacle or other special discs),</t>
  </si>
  <si>
    <t>(the same theory goes for the the starter crew/tech and the starter scenario flat, along with any crew/tech discs on the ship flat)</t>
  </si>
  <si>
    <t>starter obstacle / range</t>
  </si>
  <si>
    <t>starter orders / torpedoes / commands</t>
  </si>
  <si>
    <t>each variety</t>
  </si>
  <si>
    <t>Although the common and uncommon in starters were random, it's possible they were from</t>
  </si>
  <si>
    <t>a separate pool than the boosters.</t>
  </si>
  <si>
    <t>common ship</t>
  </si>
  <si>
    <t>common scenario</t>
  </si>
  <si>
    <t>common crew</t>
  </si>
  <si>
    <t>uncommon ship</t>
  </si>
  <si>
    <t>uncommon crew</t>
  </si>
  <si>
    <t>rare crew</t>
  </si>
  <si>
    <t>uncommon scenario</t>
  </si>
  <si>
    <t>rare ship</t>
  </si>
  <si>
    <t>rare scenario</t>
  </si>
  <si>
    <t>Variety printed:</t>
  </si>
  <si>
    <t>rarity</t>
  </si>
  <si>
    <t>This could be a good value to use when trying to figure your chances of getting a flat you need when receiving x number of random (unsearched) flats from a seller.</t>
  </si>
  <si>
    <t>i.e. if you are looking for one specific rare scenario flat, and are buying 100 mixed flats, your odds of getting it are 0.0054 x 100 (54%, close to 50/50)</t>
  </si>
  <si>
    <t>"Variety Rarity" is the number of prints of that specific flat were made, out of the 560,000 total flats printed</t>
  </si>
  <si>
    <t>"Group Rarity" is the odds that any one disc randomly selected from the 560,000 total flats printed is from that specific group.</t>
  </si>
  <si>
    <t>i.e. you have about a 2% chance that any given mystery flat you find is a rare scenario flat.</t>
  </si>
  <si>
    <t>rarity of a specific rare scenario</t>
  </si>
  <si>
    <t>odds of a 4 flat booster containing at least one of the rare scenario you are looking for</t>
  </si>
  <si>
    <t>not in the booster</t>
  </si>
  <si>
    <t>is flats 1,3</t>
  </si>
  <si>
    <t>is flats 1 and 4</t>
  </si>
  <si>
    <t>is flats 1 and 2</t>
  </si>
  <si>
    <t>is flat 1</t>
  </si>
  <si>
    <t>is flat 2</t>
  </si>
  <si>
    <t>is flat 3</t>
  </si>
  <si>
    <t>is flat 4</t>
  </si>
  <si>
    <t>is flats 2,3</t>
  </si>
  <si>
    <t>is flats 2,4</t>
  </si>
  <si>
    <t>is flats 3,4</t>
  </si>
  <si>
    <t>is flats 1,2,3</t>
  </si>
  <si>
    <t>is flats 1,2,4</t>
  </si>
  <si>
    <t>is flats 2,3,4</t>
  </si>
  <si>
    <t>is flats 1,3,4</t>
  </si>
  <si>
    <t>is all four flats</t>
  </si>
  <si>
    <t>the odds of finding more than one really don't count for much</t>
  </si>
  <si>
    <t>Wants</t>
  </si>
  <si>
    <t>pzmcgwire</t>
  </si>
  <si>
    <t>Useful</t>
  </si>
  <si>
    <t>Starters include 5 fixed (E) flats in a group plus three random flats, a control panel (for that faction), and a rulebook.</t>
  </si>
  <si>
    <t>E flats include a ship flat (which also has a few tech / crew discs),</t>
  </si>
  <si>
    <t>and a specific starter crew / tech flat. (same faction)</t>
  </si>
  <si>
    <t>total flat variety</t>
  </si>
  <si>
    <t>It includes corrections to discs as well as rule clarifications.</t>
  </si>
  <si>
    <t>This is a list of corrections and clarifications from offical sources though not through official channels.  (usually via interviews with the creators)</t>
  </si>
  <si>
    <t>If it was an option worth considering, you'd see this happening a lot in games.  Look at how incredibly rare it was in the shows.</t>
  </si>
  <si>
    <t>You don't have to declare a target when firing a torpedo, and can change your mind as to who it's chasing.  They can change heading before starting their flips each movement phase.  Torpedoes do not impact cloaked vessels, they fly right through the disc.</t>
  </si>
  <si>
    <t>I'm not aware of any special flats printed for promotion.  There ARE other promotional materials availabe that were distributed to players that requested a demonstration event kit.</t>
  </si>
  <si>
    <t>Klingon Khor'tal should have a cost of 8, not 3. (eratta)</t>
  </si>
  <si>
    <t>Ship flat #122 (Romulan Ship Vathos Tullan) has a "double agent" torpedo that's Romulan on one side and Klingon on the other side. (misprint)</t>
  </si>
  <si>
    <t>A few discs are marked here as Bridge Crew despite not being listed as such on their discs</t>
  </si>
  <si>
    <t>(those discs were probably supposed to have that keyword due to their Job)</t>
  </si>
  <si>
    <t>TOTE is my surplus punched disc storage</t>
  </si>
  <si>
    <t>CASE is my punched discs playing case</t>
  </si>
  <si>
    <t>error</t>
  </si>
  <si>
    <t>sets</t>
  </si>
  <si>
    <t>It's very likely they did this to protect their new DiscWars product line from what may have been very strong competition in the growing disc-based gaming market.</t>
  </si>
  <si>
    <t>They certainly would have expeted another production run the following year, which we would have seen had they not lost their license to use the Star Trek brand.</t>
  </si>
  <si>
    <t>Due to the lack of availability of product boxes shortly after initial release, few of these demo events took place and these materials may be available in like-new condition if you can find them.</t>
  </si>
  <si>
    <t>Original MSRP was $12 for a starter ship pack and $4 per booster pack.  Prices quickly went up to $15 per ship and $7 for each booster when retail inventory became depleated a few weeks after release.</t>
  </si>
  <si>
    <t>Federation and Klingon were the most popular starter boxes at any venue, followed closely by Romulan.</t>
  </si>
  <si>
    <t>The Cardassian and Ferengi starters weren't as popular and so tended to be the only remaining starters as store inventory ran out.  By this point, all boosters had usually been sold.</t>
  </si>
  <si>
    <t>There were also fewer Cardassian and Ferengi flats available in the booster packs.  The ratio of production seems to line up fairly well with faction popularity among Star Trek fans.</t>
  </si>
  <si>
    <t>Klingons and Ferengi have no crew that can remove crits.</t>
  </si>
  <si>
    <t>Tech and Crew disk abilities that end in "Flip" must be flipped (activated) to use and cannot be activated again until readied. (flipped back, usually at the start of the next turn) All other abilities continue to work while flipped, but end when concealed.</t>
  </si>
  <si>
    <t>In addition to "Unique" discs having one occurance per game, discs with named ranks may be revealed one per ship at a time.  Only one acting ship captain or commander or science offier etc, and one fleet admiral.  Hide one to reveal another if you have two.</t>
  </si>
  <si>
    <t>Correction: Cdr. Tebok's second choice of orders should be ACT+RS, with no 3rd order</t>
  </si>
  <si>
    <t>Correction: Khor'tal should have a cost of 8, not 3. (a design oversight that led to a game imbalance)</t>
  </si>
  <si>
    <t>Calculate command initiative by adding up the ship's base command (if any) plus all revelaled crew on board, including activated (flipped) crew but NOT concealed or dead crew.</t>
  </si>
  <si>
    <t>When moving, a ship can flip right through another ship without colliding.  A collision only occurs when a ship ENDS its movement overlapping another disc.  Torpedoes however go off immediately on contact with ANY (uncloaked) disc, including the owner's ship.</t>
  </si>
  <si>
    <t>No, you can't shoot a torpedo down with a beam weapon.  It's never been done on any of the shows. (exception: Scenario "Starbase 112", and one of the recent movies)</t>
  </si>
  <si>
    <t>Common and uncommon random flats were distributed randomly between starter and booster packs.</t>
  </si>
  <si>
    <t>total booster packs</t>
  </si>
  <si>
    <t>total starter boxes</t>
  </si>
  <si>
    <t>my unpunched flats:</t>
  </si>
  <si>
    <t>total flats manufactured</t>
  </si>
  <si>
    <t>my percentage of all flats manufactured</t>
  </si>
  <si>
    <t>Printed</t>
  </si>
  <si>
    <t>and can ONLY be obtained in its starter pack, making the "E" starter flats the same rarity as ucommon flats.</t>
  </si>
  <si>
    <t>The first and only printing of the game was a run of 560,000 flats, that were assembled into 40,000 starter boxes and 60,000 booster packs.</t>
  </si>
  <si>
    <t>There are a total of 240 different primary discs, including ships, crew, personal tech, upgrade tech, and scenarios.</t>
  </si>
  <si>
    <t>If everyone bought two starters and three boosters, that would have accomodated 20,000 new players.</t>
  </si>
  <si>
    <t>Last Uncorn Games did give away some flats at the WoTC announcement and demo, and may have given some flats away to players doing demo events,</t>
  </si>
  <si>
    <t>Romuan Elite Secrity should be "Unique" as with all other factions' Elite Security and Elite Away Team. (unofficial)</t>
  </si>
  <si>
    <t>Federation Ops Specialist, Federation Tactical Specialist, Ferengi Tac Officer, and Cardassian Xenotactics Specialists should be treated as Bridge Crew like the other (non-engineering) specialists.  (unofficial)</t>
  </si>
  <si>
    <t>Shortcomings:</t>
  </si>
  <si>
    <t>There is only one starter ship for Cardassian and Ferengi.  Ferengi ships are even more difficult to come by than Cardassian since booster flats for Ferengi ships are on one common and THREE rare flats</t>
  </si>
  <si>
    <t>Cardassian and Ferengi both have half the flats/discs as the other three factions.  The lack of ships itself isn't a big deal, but the lower variety of crew and tech make them less interesting to play.</t>
  </si>
  <si>
    <t>Non-starter ships don't come with a control panel, which may lead to shortages during game events.  You can just use a panel from a different faction, or make a photocopy.</t>
  </si>
  <si>
    <t>Cardassians have NO personal tech and so can't defend being boarded as well and are less effective at boarding others.</t>
  </si>
  <si>
    <t>Many Unique discs appear on common flats, filling players' decks with a glut of duplicates that can't be used together in-game and are thus also less valuable for trading.</t>
  </si>
  <si>
    <t>Type 1 cloaks require a command to activate, despite that not being indicated on the disc.  There are several additional cloak rules in the handbook that are not stated on the disc) that must also be followed.</t>
  </si>
  <si>
    <t>A player whose ship has been taken over continues to be in control of revealing and concealing his remaining crew, and may conceal crew to try to protect them or reveal crew try to regain control through combat.</t>
  </si>
  <si>
    <t>You cannot activate two tech upgrades to the same technology on the same ship at the same time. (one upgrade to beam weapons, one upgrade to torpedoes, one upgrade to transporters, etc)</t>
  </si>
  <si>
    <t>tote</t>
  </si>
  <si>
    <t>but these were almost certainly pulled from the original print run and don't consitute additional flats in circulation. (maybe 1 case of boosters and starters?)</t>
  </si>
  <si>
    <t>Romulans have no captain disk with a double-attack order.</t>
  </si>
  <si>
    <t>Remaining questinons:</t>
  </si>
  <si>
    <t>in a 4 player game, if two teammaes are the same faction, can each of them use the same unique crew, or does "Unique" apply to both teammates?  Or does it apply to ALL players on both sides?</t>
  </si>
  <si>
    <t>with sealed</t>
  </si>
  <si>
    <t>my percentage of all flats manufactured, including sealed starters</t>
  </si>
  <si>
    <t>VRI'DIS</t>
  </si>
  <si>
    <t>GETH'CHOQ</t>
  </si>
  <si>
    <t>YAMATO</t>
  </si>
  <si>
    <t>D'DELEAN</t>
  </si>
  <si>
    <t>BORTAS</t>
  </si>
  <si>
    <t>T'LARATEX</t>
  </si>
  <si>
    <t>APPALACHIA</t>
  </si>
  <si>
    <t>KRAYTON</t>
  </si>
  <si>
    <t>ID</t>
  </si>
  <si>
    <t>Qty</t>
  </si>
  <si>
    <t>Starters</t>
  </si>
  <si>
    <t>one is not actually sealed</t>
  </si>
  <si>
    <t>The ship flat that comes with a starter is NOT part of the common / uncommon / random pool,</t>
  </si>
  <si>
    <t>The common and uncommon flats in the starters were included at random and will thus be of random factions.</t>
  </si>
  <si>
    <t>each booster includes two common, one uncommon, and one rare flat</t>
  </si>
  <si>
    <t>sealed booster packs (12 per box)</t>
  </si>
  <si>
    <t>The other three flats include two random common flats</t>
  </si>
  <si>
    <t>and one random uncommon flat</t>
  </si>
  <si>
    <t>flats per pack (2C, 1U, 1R)</t>
  </si>
  <si>
    <t>flats per box (5E, 2C, 1U)</t>
  </si>
  <si>
    <t>(does not count sealed starters or boosters)</t>
  </si>
  <si>
    <t>each starter includes 5 starter, two common, and one uncommon flat</t>
  </si>
  <si>
    <t>sealed starters (8 per box)</t>
  </si>
  <si>
    <t>booster frequency</t>
  </si>
  <si>
    <t>Since two common and one uncommon were randomly used in starters, this reduces the number of common and uncommon available for use in the boosters.</t>
  </si>
  <si>
    <t>This is why boosters contain two common, one uncommon, and one rare.</t>
  </si>
  <si>
    <t>(if you ignore the "odds" of the random flats in the starters, the "rares" are just as common as the "uncommons" in boosters)</t>
  </si>
  <si>
    <t>I own 1 in this many of the total flats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</si>
</sst>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
  </numFmts>
  <fonts count="8" x14ac:knownFonts="1">
    <font>
      <sz val="10"/>
      <name val="Arial"/>
    </font>
    <font>
      <b/>
      <sz val="10"/>
      <name val="Arial"/>
      <family val="2"/>
    </font>
    <font>
      <sz val="10"/>
      <name val="Arial"/>
      <family val="2"/>
    </font>
    <font>
      <sz val="8"/>
      <name val="Arial"/>
      <family val="2"/>
    </font>
    <font>
      <u/>
      <sz val="10"/>
      <color theme="10"/>
      <name val="Arial"/>
      <family val="2"/>
    </font>
    <font>
      <u/>
      <sz val="10"/>
      <color theme="11"/>
      <name val="Arial"/>
      <family val="2"/>
    </font>
    <font>
      <b/>
      <sz val="10"/>
      <color rgb="FFFF0000"/>
      <name val="Arial"/>
      <family val="2"/>
    </font>
    <font>
      <sz val="12"/>
      <name val="Helvetica"/>
      <family val="2"/>
    </font>
  </fonts>
  <fills count="17">
    <fill>
      <patternFill patternType="none"/>
    </fill>
    <fill>
      <patternFill patternType="gray125"/>
    </fill>
    <fill>
      <patternFill patternType="solid">
        <fgColor theme="5" tint="0.39997558519241921"/>
        <bgColor indexed="64"/>
      </patternFill>
    </fill>
    <fill>
      <patternFill patternType="solid">
        <fgColor rgb="FFFF7F81"/>
        <bgColor indexed="64"/>
      </patternFill>
    </fill>
    <fill>
      <patternFill patternType="solid">
        <fgColor rgb="FFEDEE00"/>
        <bgColor indexed="64"/>
      </patternFill>
    </fill>
    <fill>
      <patternFill patternType="solid">
        <fgColor rgb="FF00B0F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73FAB4"/>
        <bgColor indexed="64"/>
      </patternFill>
    </fill>
    <fill>
      <patternFill patternType="solid">
        <fgColor rgb="FF9EC0FF"/>
        <bgColor indexed="64"/>
      </patternFill>
    </fill>
    <fill>
      <patternFill patternType="solid">
        <fgColor rgb="FFD1C376"/>
        <bgColor indexed="64"/>
      </patternFill>
    </fill>
    <fill>
      <patternFill patternType="solid">
        <fgColor rgb="FFFBBF8F"/>
        <bgColor indexed="64"/>
      </patternFill>
    </fill>
    <fill>
      <patternFill patternType="solid">
        <fgColor rgb="FFB1A0C7"/>
        <bgColor indexed="64"/>
      </patternFill>
    </fill>
    <fill>
      <patternFill patternType="solid">
        <fgColor rgb="FFD1C476"/>
        <bgColor indexed="64"/>
      </patternFill>
    </fill>
    <fill>
      <patternFill patternType="solid">
        <fgColor rgb="FF73FBB4"/>
        <bgColor indexed="64"/>
      </patternFill>
    </fill>
    <fill>
      <patternFill patternType="solid">
        <fgColor rgb="FFF4E137"/>
        <bgColor indexed="64"/>
      </patternFill>
    </fill>
  </fills>
  <borders count="23">
    <border>
      <left/>
      <right/>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double">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double">
        <color auto="1"/>
      </bottom>
      <diagonal/>
    </border>
  </borders>
  <cellStyleXfs count="43">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cellStyleXfs>
  <cellXfs count="344">
    <xf numFmtId="0" fontId="0" fillId="0" borderId="0" xfId="0"/>
    <xf numFmtId="0" fontId="1" fillId="0" borderId="0" xfId="0" applyFont="1" applyFill="1" applyAlignment="1">
      <alignment wrapText="1"/>
    </xf>
    <xf numFmtId="0" fontId="1" fillId="0" borderId="0" xfId="0" applyFont="1" applyFill="1" applyAlignment="1">
      <alignment horizontal="center" wrapText="1"/>
    </xf>
    <xf numFmtId="0" fontId="2" fillId="0" borderId="0" xfId="0" applyFont="1" applyFill="1"/>
    <xf numFmtId="0" fontId="2" fillId="0" borderId="0" xfId="0" applyFont="1" applyFill="1" applyAlignment="1">
      <alignment horizontal="center"/>
    </xf>
    <xf numFmtId="0" fontId="2" fillId="0" borderId="0" xfId="0" quotePrefix="1" applyFont="1" applyFill="1"/>
    <xf numFmtId="0" fontId="1" fillId="0" borderId="0" xfId="0" applyFont="1" applyFill="1" applyBorder="1" applyAlignment="1">
      <alignment wrapText="1"/>
    </xf>
    <xf numFmtId="0" fontId="2" fillId="0" borderId="0" xfId="0" applyFont="1" applyFill="1" applyBorder="1" applyAlignment="1">
      <alignment horizontal="center"/>
    </xf>
    <xf numFmtId="0" fontId="2" fillId="0" borderId="0" xfId="0" applyFont="1" applyFill="1" applyBorder="1"/>
    <xf numFmtId="0" fontId="0" fillId="0" borderId="0" xfId="0" applyFont="1" applyFill="1" applyBorder="1"/>
    <xf numFmtId="0" fontId="2" fillId="0" borderId="0" xfId="0" applyFont="1" applyFill="1" applyBorder="1" applyAlignment="1">
      <alignment horizontal="right"/>
    </xf>
    <xf numFmtId="0" fontId="0" fillId="0" borderId="0" xfId="0" applyFont="1" applyFill="1" applyBorder="1" applyAlignment="1">
      <alignment horizontal="left"/>
    </xf>
    <xf numFmtId="0" fontId="0" fillId="0" borderId="0" xfId="0" applyFont="1" applyFill="1" applyBorder="1" applyAlignment="1">
      <alignment horizontal="center"/>
    </xf>
    <xf numFmtId="0" fontId="0" fillId="0" borderId="0" xfId="0" applyAlignment="1">
      <alignment horizontal="center"/>
    </xf>
    <xf numFmtId="0" fontId="0" fillId="0" borderId="0" xfId="0" applyFill="1" applyAlignment="1">
      <alignment horizontal="center"/>
    </xf>
    <xf numFmtId="0" fontId="0" fillId="0" borderId="0" xfId="0" applyFont="1" applyFill="1" applyAlignment="1">
      <alignment horizontal="left"/>
    </xf>
    <xf numFmtId="0" fontId="0" fillId="0" borderId="0" xfId="0" applyFont="1" applyFill="1" applyAlignment="1">
      <alignment horizontal="center"/>
    </xf>
    <xf numFmtId="0" fontId="2" fillId="0" borderId="0" xfId="0" applyFont="1" applyFill="1" applyBorder="1" applyAlignment="1">
      <alignment horizontal="left"/>
    </xf>
    <xf numFmtId="0" fontId="0" fillId="0" borderId="0" xfId="0" applyFont="1" applyFill="1"/>
    <xf numFmtId="0" fontId="1" fillId="0" borderId="0" xfId="0" applyFont="1" applyAlignment="1">
      <alignment horizontal="center" wrapText="1"/>
    </xf>
    <xf numFmtId="0" fontId="0" fillId="0" borderId="1" xfId="0" applyBorder="1"/>
    <xf numFmtId="0" fontId="0" fillId="0" borderId="0" xfId="0" applyAlignment="1">
      <alignment horizontal="right"/>
    </xf>
    <xf numFmtId="0" fontId="0" fillId="0" borderId="0" xfId="0" applyBorder="1" applyAlignment="1">
      <alignment horizontal="right"/>
    </xf>
    <xf numFmtId="0" fontId="0" fillId="0" borderId="1" xfId="0" applyBorder="1" applyAlignment="1">
      <alignment horizontal="center"/>
    </xf>
    <xf numFmtId="3" fontId="0" fillId="0" borderId="0" xfId="0" applyNumberFormat="1" applyAlignment="1">
      <alignment horizontal="center"/>
    </xf>
    <xf numFmtId="3" fontId="0" fillId="0" borderId="1" xfId="0" applyNumberFormat="1" applyBorder="1" applyAlignment="1">
      <alignment horizontal="center"/>
    </xf>
    <xf numFmtId="0" fontId="0" fillId="0" borderId="0" xfId="0" quotePrefix="1"/>
    <xf numFmtId="0" fontId="0" fillId="0" borderId="0" xfId="0" applyBorder="1" applyAlignment="1">
      <alignment horizontal="center"/>
    </xf>
    <xf numFmtId="0" fontId="0" fillId="0" borderId="0" xfId="0" applyFill="1" applyBorder="1" applyAlignment="1">
      <alignment horizontal="center"/>
    </xf>
    <xf numFmtId="0" fontId="0" fillId="3" borderId="0" xfId="0" applyFont="1" applyFill="1" applyBorder="1" applyAlignment="1">
      <alignment horizontal="center"/>
    </xf>
    <xf numFmtId="0" fontId="0" fillId="0" borderId="0" xfId="0" applyFill="1"/>
    <xf numFmtId="0" fontId="2" fillId="2" borderId="0" xfId="0" applyFont="1" applyFill="1" applyAlignment="1">
      <alignment horizontal="center"/>
    </xf>
    <xf numFmtId="1" fontId="2" fillId="0" borderId="0" xfId="0" applyNumberFormat="1" applyFont="1" applyFill="1" applyAlignment="1">
      <alignment horizontal="center"/>
    </xf>
    <xf numFmtId="0" fontId="0" fillId="0" borderId="1" xfId="0" applyFill="1" applyBorder="1" applyAlignment="1">
      <alignment horizontal="left"/>
    </xf>
    <xf numFmtId="0" fontId="1" fillId="0" borderId="1" xfId="0" applyFont="1" applyFill="1" applyBorder="1" applyAlignment="1">
      <alignment horizontal="center" wrapText="1"/>
    </xf>
    <xf numFmtId="0" fontId="1" fillId="0" borderId="1" xfId="0" applyFont="1" applyFill="1" applyBorder="1" applyAlignment="1">
      <alignment wrapText="1"/>
    </xf>
    <xf numFmtId="0" fontId="0" fillId="4" borderId="0" xfId="0" applyFont="1" applyFill="1" applyBorder="1" applyAlignment="1">
      <alignment horizontal="center"/>
    </xf>
    <xf numFmtId="0" fontId="2" fillId="0" borderId="0" xfId="0" applyFont="1" applyFill="1" applyAlignment="1">
      <alignment horizontal="left"/>
    </xf>
    <xf numFmtId="0" fontId="0" fillId="0" borderId="0" xfId="0" applyFont="1" applyFill="1" applyAlignment="1">
      <alignment horizontal="center" wrapText="1"/>
    </xf>
    <xf numFmtId="0" fontId="0" fillId="0" borderId="0" xfId="0" applyFont="1" applyFill="1" applyAlignment="1">
      <alignment horizontal="left" wrapText="1"/>
    </xf>
    <xf numFmtId="0" fontId="1" fillId="0" borderId="1" xfId="0" applyFont="1" applyFill="1" applyBorder="1" applyAlignment="1">
      <alignment horizontal="left" wrapText="1"/>
    </xf>
    <xf numFmtId="0" fontId="1" fillId="0" borderId="0" xfId="0" applyFont="1" applyFill="1" applyAlignment="1">
      <alignment horizontal="left" wrapText="1"/>
    </xf>
    <xf numFmtId="0" fontId="6" fillId="0" borderId="0" xfId="0" applyFont="1" applyFill="1" applyAlignment="1">
      <alignment horizontal="center"/>
    </xf>
    <xf numFmtId="0" fontId="0" fillId="0" borderId="0" xfId="0" applyBorder="1" applyAlignment="1">
      <alignment horizontal="left"/>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Fill="1" applyBorder="1" applyAlignment="1">
      <alignment horizontal="center"/>
    </xf>
    <xf numFmtId="0" fontId="0" fillId="0" borderId="2" xfId="0" applyBorder="1" applyAlignment="1">
      <alignment horizontal="center"/>
    </xf>
    <xf numFmtId="0" fontId="0" fillId="0" borderId="10" xfId="0" applyBorder="1"/>
    <xf numFmtId="10" fontId="0" fillId="0" borderId="0" xfId="0" applyNumberFormat="1" applyAlignment="1">
      <alignment horizontal="center"/>
    </xf>
    <xf numFmtId="0" fontId="0" fillId="0" borderId="12" xfId="0" applyFill="1" applyBorder="1" applyAlignment="1">
      <alignment horizontal="center"/>
    </xf>
    <xf numFmtId="0" fontId="0" fillId="0" borderId="13" xfId="0" applyFill="1" applyBorder="1" applyAlignment="1">
      <alignment horizontal="center"/>
    </xf>
    <xf numFmtId="0" fontId="0" fillId="0" borderId="14" xfId="0" applyFill="1" applyBorder="1" applyAlignment="1">
      <alignment horizontal="center"/>
    </xf>
    <xf numFmtId="0" fontId="0" fillId="0" borderId="3" xfId="0" applyFill="1" applyBorder="1" applyAlignment="1">
      <alignment horizontal="center"/>
    </xf>
    <xf numFmtId="0" fontId="0" fillId="0" borderId="8" xfId="0" applyFill="1" applyBorder="1" applyAlignment="1">
      <alignment horizontal="center"/>
    </xf>
    <xf numFmtId="0" fontId="0" fillId="0" borderId="10" xfId="0" applyFill="1" applyBorder="1" applyAlignment="1">
      <alignment horizontal="center"/>
    </xf>
    <xf numFmtId="0" fontId="0" fillId="0" borderId="6" xfId="0" applyFill="1" applyBorder="1" applyAlignment="1">
      <alignment horizontal="center"/>
    </xf>
    <xf numFmtId="0" fontId="0" fillId="0" borderId="6" xfId="0" applyBorder="1"/>
    <xf numFmtId="0" fontId="0" fillId="0" borderId="13" xfId="0" applyBorder="1" applyAlignment="1">
      <alignment horizontal="center"/>
    </xf>
    <xf numFmtId="0" fontId="0" fillId="0" borderId="14" xfId="0" applyBorder="1" applyAlignment="1">
      <alignment horizontal="center"/>
    </xf>
    <xf numFmtId="0" fontId="6" fillId="0" borderId="0" xfId="0" applyFont="1" applyFill="1"/>
    <xf numFmtId="0" fontId="0" fillId="0" borderId="0" xfId="0" applyAlignment="1">
      <alignment horizontal="left"/>
    </xf>
    <xf numFmtId="0" fontId="0" fillId="0" borderId="15" xfId="0" applyBorder="1" applyAlignment="1">
      <alignment horizontal="center"/>
    </xf>
    <xf numFmtId="0" fontId="0" fillId="0" borderId="3" xfId="0" applyFont="1" applyFill="1" applyBorder="1" applyAlignment="1">
      <alignment horizontal="center"/>
    </xf>
    <xf numFmtId="0" fontId="0" fillId="0" borderId="4" xfId="0" applyFont="1" applyFill="1" applyBorder="1" applyAlignment="1">
      <alignment horizontal="center"/>
    </xf>
    <xf numFmtId="0" fontId="0" fillId="0" borderId="6" xfId="0" applyFont="1" applyFill="1" applyBorder="1" applyAlignment="1">
      <alignment horizontal="center"/>
    </xf>
    <xf numFmtId="0" fontId="0" fillId="0" borderId="0" xfId="0" applyBorder="1"/>
    <xf numFmtId="0" fontId="0" fillId="0" borderId="8" xfId="0" applyFont="1" applyFill="1" applyBorder="1" applyAlignment="1">
      <alignment horizontal="center"/>
    </xf>
    <xf numFmtId="0" fontId="0" fillId="0" borderId="9" xfId="0" applyFont="1" applyFill="1" applyBorder="1" applyAlignment="1">
      <alignment horizontal="center"/>
    </xf>
    <xf numFmtId="0" fontId="0" fillId="6" borderId="3" xfId="0" applyFont="1" applyFill="1" applyBorder="1" applyAlignment="1">
      <alignment horizontal="center"/>
    </xf>
    <xf numFmtId="0" fontId="0" fillId="6" borderId="4" xfId="0" applyFill="1" applyBorder="1" applyAlignment="1">
      <alignment horizontal="center"/>
    </xf>
    <xf numFmtId="0" fontId="0" fillId="6" borderId="4" xfId="0" applyFill="1" applyBorder="1"/>
    <xf numFmtId="0" fontId="0" fillId="6" borderId="4" xfId="0" applyFont="1" applyFill="1" applyBorder="1" applyAlignment="1">
      <alignment horizontal="center"/>
    </xf>
    <xf numFmtId="0" fontId="0" fillId="6" borderId="4" xfId="0" applyFont="1" applyFill="1" applyBorder="1" applyAlignment="1">
      <alignment horizontal="center" wrapText="1"/>
    </xf>
    <xf numFmtId="0" fontId="0" fillId="6" borderId="4" xfId="0" applyFont="1" applyFill="1" applyBorder="1" applyAlignment="1">
      <alignment horizontal="left" wrapText="1"/>
    </xf>
    <xf numFmtId="0" fontId="0" fillId="6" borderId="5" xfId="0" applyFont="1" applyFill="1" applyBorder="1" applyAlignment="1">
      <alignment horizontal="left" wrapText="1"/>
    </xf>
    <xf numFmtId="0" fontId="0" fillId="6" borderId="6" xfId="0" applyFont="1" applyFill="1" applyBorder="1" applyAlignment="1">
      <alignment horizontal="center"/>
    </xf>
    <xf numFmtId="0" fontId="0" fillId="6" borderId="0" xfId="0" applyFill="1" applyBorder="1" applyAlignment="1">
      <alignment horizontal="center"/>
    </xf>
    <xf numFmtId="0" fontId="0" fillId="6" borderId="0" xfId="0" applyFill="1" applyBorder="1"/>
    <xf numFmtId="0" fontId="0" fillId="6" borderId="0" xfId="0" applyFont="1" applyFill="1" applyBorder="1" applyAlignment="1">
      <alignment horizontal="center"/>
    </xf>
    <xf numFmtId="0" fontId="0" fillId="6" borderId="0" xfId="0" applyFont="1" applyFill="1" applyBorder="1" applyAlignment="1">
      <alignment horizontal="center" wrapText="1"/>
    </xf>
    <xf numFmtId="0" fontId="0" fillId="6" borderId="0" xfId="0" applyFont="1" applyFill="1" applyBorder="1" applyAlignment="1">
      <alignment horizontal="left" wrapText="1"/>
    </xf>
    <xf numFmtId="0" fontId="0" fillId="6" borderId="7" xfId="0" applyFont="1" applyFill="1" applyBorder="1" applyAlignment="1">
      <alignment horizontal="left" wrapText="1"/>
    </xf>
    <xf numFmtId="0" fontId="0" fillId="6" borderId="8" xfId="0" applyFont="1" applyFill="1" applyBorder="1" applyAlignment="1">
      <alignment horizontal="center"/>
    </xf>
    <xf numFmtId="0" fontId="0" fillId="6" borderId="9" xfId="0" applyFill="1" applyBorder="1" applyAlignment="1">
      <alignment horizontal="center"/>
    </xf>
    <xf numFmtId="0" fontId="0" fillId="6" borderId="9" xfId="0" applyFill="1" applyBorder="1"/>
    <xf numFmtId="0" fontId="0" fillId="6" borderId="9" xfId="0" applyFont="1" applyFill="1" applyBorder="1" applyAlignment="1">
      <alignment horizontal="center"/>
    </xf>
    <xf numFmtId="0" fontId="0" fillId="6" borderId="9" xfId="0" applyFont="1" applyFill="1" applyBorder="1" applyAlignment="1">
      <alignment horizontal="center" wrapText="1"/>
    </xf>
    <xf numFmtId="0" fontId="0" fillId="6" borderId="9" xfId="0" applyFont="1" applyFill="1" applyBorder="1" applyAlignment="1">
      <alignment horizontal="left" wrapText="1"/>
    </xf>
    <xf numFmtId="0" fontId="0" fillId="6" borderId="10" xfId="0" applyFont="1" applyFill="1" applyBorder="1" applyAlignment="1">
      <alignment horizontal="left" wrapText="1"/>
    </xf>
    <xf numFmtId="0" fontId="0" fillId="4" borderId="3" xfId="0" applyFont="1" applyFill="1" applyBorder="1" applyAlignment="1">
      <alignment horizontal="center"/>
    </xf>
    <xf numFmtId="0" fontId="0" fillId="4" borderId="4" xfId="0" applyFill="1" applyBorder="1" applyAlignment="1">
      <alignment horizontal="center"/>
    </xf>
    <xf numFmtId="0" fontId="0" fillId="4" borderId="4" xfId="0" applyFill="1" applyBorder="1"/>
    <xf numFmtId="0" fontId="0" fillId="4" borderId="4" xfId="0" applyFont="1" applyFill="1" applyBorder="1" applyAlignment="1">
      <alignment horizontal="center"/>
    </xf>
    <xf numFmtId="0" fontId="0" fillId="4" borderId="4" xfId="0" applyFont="1" applyFill="1" applyBorder="1" applyAlignment="1">
      <alignment horizontal="center" wrapText="1"/>
    </xf>
    <xf numFmtId="0" fontId="0" fillId="4" borderId="4" xfId="0" applyFont="1" applyFill="1" applyBorder="1" applyAlignment="1">
      <alignment horizontal="left" wrapText="1"/>
    </xf>
    <xf numFmtId="0" fontId="0" fillId="4" borderId="5" xfId="0" applyFont="1" applyFill="1" applyBorder="1" applyAlignment="1">
      <alignment horizontal="left" wrapText="1"/>
    </xf>
    <xf numFmtId="0" fontId="0" fillId="4" borderId="6" xfId="0" applyFont="1" applyFill="1" applyBorder="1" applyAlignment="1">
      <alignment horizontal="center"/>
    </xf>
    <xf numFmtId="0" fontId="0" fillId="4" borderId="0" xfId="0" applyFill="1" applyBorder="1" applyAlignment="1">
      <alignment horizontal="center"/>
    </xf>
    <xf numFmtId="0" fontId="0" fillId="4" borderId="0" xfId="0" applyFill="1" applyBorder="1"/>
    <xf numFmtId="0" fontId="0" fillId="4" borderId="0" xfId="0" applyFont="1" applyFill="1" applyBorder="1" applyAlignment="1">
      <alignment horizontal="center" wrapText="1"/>
    </xf>
    <xf numFmtId="0" fontId="0" fillId="4" borderId="0" xfId="0" applyFont="1" applyFill="1" applyBorder="1" applyAlignment="1">
      <alignment horizontal="left" wrapText="1"/>
    </xf>
    <xf numFmtId="0" fontId="0" fillId="4" borderId="7" xfId="0" applyFont="1" applyFill="1" applyBorder="1" applyAlignment="1">
      <alignment horizontal="left" wrapText="1"/>
    </xf>
    <xf numFmtId="0" fontId="0" fillId="4" borderId="8" xfId="0" applyFont="1" applyFill="1" applyBorder="1" applyAlignment="1">
      <alignment horizontal="center"/>
    </xf>
    <xf numFmtId="0" fontId="0" fillId="4" borderId="9" xfId="0" applyFill="1" applyBorder="1" applyAlignment="1">
      <alignment horizontal="center"/>
    </xf>
    <xf numFmtId="0" fontId="0" fillId="4" borderId="9" xfId="0" applyFill="1" applyBorder="1"/>
    <xf numFmtId="0" fontId="0" fillId="4" borderId="9" xfId="0" applyFont="1" applyFill="1" applyBorder="1" applyAlignment="1">
      <alignment horizontal="center"/>
    </xf>
    <xf numFmtId="0" fontId="0" fillId="4" borderId="9" xfId="0" applyFont="1" applyFill="1" applyBorder="1" applyAlignment="1">
      <alignment horizontal="center" wrapText="1"/>
    </xf>
    <xf numFmtId="0" fontId="0" fillId="4" borderId="9" xfId="0" applyFont="1" applyFill="1" applyBorder="1" applyAlignment="1">
      <alignment horizontal="left" wrapText="1"/>
    </xf>
    <xf numFmtId="0" fontId="0" fillId="4" borderId="10" xfId="0" applyFont="1" applyFill="1" applyBorder="1" applyAlignment="1">
      <alignment horizontal="left" wrapText="1"/>
    </xf>
    <xf numFmtId="0" fontId="0" fillId="3" borderId="3" xfId="0" applyFont="1" applyFill="1" applyBorder="1" applyAlignment="1">
      <alignment horizontal="center"/>
    </xf>
    <xf numFmtId="0" fontId="0" fillId="3" borderId="4" xfId="0" applyFill="1" applyBorder="1" applyAlignment="1">
      <alignment horizontal="center"/>
    </xf>
    <xf numFmtId="0" fontId="0" fillId="3" borderId="4" xfId="0" applyFill="1" applyBorder="1"/>
    <xf numFmtId="0" fontId="0" fillId="3" borderId="4" xfId="0" applyFont="1" applyFill="1" applyBorder="1" applyAlignment="1">
      <alignment horizontal="center"/>
    </xf>
    <xf numFmtId="0" fontId="0" fillId="3" borderId="4" xfId="0" applyFont="1" applyFill="1" applyBorder="1" applyAlignment="1">
      <alignment horizontal="center" wrapText="1"/>
    </xf>
    <xf numFmtId="0" fontId="0" fillId="3" borderId="4" xfId="0" applyFont="1" applyFill="1" applyBorder="1" applyAlignment="1">
      <alignment horizontal="left" wrapText="1"/>
    </xf>
    <xf numFmtId="0" fontId="0" fillId="3" borderId="5" xfId="0" applyFont="1" applyFill="1" applyBorder="1" applyAlignment="1">
      <alignment horizontal="left" wrapText="1"/>
    </xf>
    <xf numFmtId="0" fontId="0" fillId="3" borderId="6" xfId="0" applyFont="1" applyFill="1" applyBorder="1" applyAlignment="1">
      <alignment horizontal="center"/>
    </xf>
    <xf numFmtId="0" fontId="0" fillId="3" borderId="0" xfId="0" applyFill="1" applyBorder="1" applyAlignment="1">
      <alignment horizontal="center"/>
    </xf>
    <xf numFmtId="0" fontId="0" fillId="3" borderId="0" xfId="0" applyFill="1" applyBorder="1"/>
    <xf numFmtId="0" fontId="0" fillId="3" borderId="0" xfId="0" applyFont="1" applyFill="1" applyBorder="1" applyAlignment="1">
      <alignment horizontal="center" wrapText="1"/>
    </xf>
    <xf numFmtId="0" fontId="0" fillId="3" borderId="0" xfId="0" applyFont="1" applyFill="1" applyBorder="1" applyAlignment="1">
      <alignment horizontal="left" wrapText="1"/>
    </xf>
    <xf numFmtId="0" fontId="0" fillId="3" borderId="7" xfId="0" applyFont="1" applyFill="1" applyBorder="1" applyAlignment="1">
      <alignment horizontal="left" wrapText="1"/>
    </xf>
    <xf numFmtId="0" fontId="0" fillId="3" borderId="8" xfId="0" applyFont="1" applyFill="1" applyBorder="1" applyAlignment="1">
      <alignment horizontal="center"/>
    </xf>
    <xf numFmtId="0" fontId="0" fillId="3" borderId="9" xfId="0" applyFill="1" applyBorder="1" applyAlignment="1">
      <alignment horizontal="center"/>
    </xf>
    <xf numFmtId="0" fontId="0" fillId="3" borderId="9" xfId="0" applyFill="1" applyBorder="1"/>
    <xf numFmtId="0" fontId="0" fillId="3" borderId="9" xfId="0" applyFont="1" applyFill="1" applyBorder="1" applyAlignment="1">
      <alignment horizontal="center"/>
    </xf>
    <xf numFmtId="0" fontId="0" fillId="3" borderId="9" xfId="0" applyFont="1" applyFill="1" applyBorder="1" applyAlignment="1">
      <alignment horizontal="center" wrapText="1"/>
    </xf>
    <xf numFmtId="0" fontId="0" fillId="3" borderId="9" xfId="0" applyFont="1" applyFill="1" applyBorder="1" applyAlignment="1">
      <alignment horizontal="left" wrapText="1"/>
    </xf>
    <xf numFmtId="0" fontId="0" fillId="3" borderId="10" xfId="0" applyFont="1" applyFill="1" applyBorder="1" applyAlignment="1">
      <alignment horizontal="left" wrapText="1"/>
    </xf>
    <xf numFmtId="0" fontId="0" fillId="5" borderId="3" xfId="0" applyFont="1" applyFill="1" applyBorder="1" applyAlignment="1">
      <alignment horizontal="center"/>
    </xf>
    <xf numFmtId="0" fontId="0" fillId="5" borderId="4" xfId="0" applyFill="1" applyBorder="1" applyAlignment="1">
      <alignment horizontal="center"/>
    </xf>
    <xf numFmtId="0" fontId="0" fillId="5" borderId="4" xfId="0" applyFill="1" applyBorder="1"/>
    <xf numFmtId="0" fontId="0" fillId="5" borderId="4" xfId="0" applyFont="1" applyFill="1" applyBorder="1" applyAlignment="1">
      <alignment horizontal="center"/>
    </xf>
    <xf numFmtId="0" fontId="0" fillId="5" borderId="4" xfId="0" applyFont="1" applyFill="1" applyBorder="1" applyAlignment="1">
      <alignment horizontal="center" wrapText="1"/>
    </xf>
    <xf numFmtId="0" fontId="0" fillId="5" borderId="4" xfId="0" applyFont="1" applyFill="1" applyBorder="1" applyAlignment="1">
      <alignment horizontal="left" wrapText="1"/>
    </xf>
    <xf numFmtId="0" fontId="0" fillId="5" borderId="5" xfId="0" applyFont="1" applyFill="1" applyBorder="1" applyAlignment="1">
      <alignment horizontal="left" wrapText="1"/>
    </xf>
    <xf numFmtId="0" fontId="0" fillId="5" borderId="6" xfId="0" applyFont="1" applyFill="1" applyBorder="1" applyAlignment="1">
      <alignment horizontal="center"/>
    </xf>
    <xf numFmtId="0" fontId="0" fillId="5" borderId="0" xfId="0" applyFill="1" applyBorder="1" applyAlignment="1">
      <alignment horizontal="center"/>
    </xf>
    <xf numFmtId="0" fontId="0" fillId="5" borderId="0" xfId="0" applyFill="1" applyBorder="1"/>
    <xf numFmtId="0" fontId="0" fillId="5" borderId="0" xfId="0" applyFont="1" applyFill="1" applyBorder="1" applyAlignment="1">
      <alignment horizontal="center"/>
    </xf>
    <xf numFmtId="0" fontId="0" fillId="5" borderId="0" xfId="0" applyFont="1" applyFill="1" applyBorder="1" applyAlignment="1">
      <alignment horizontal="center" wrapText="1"/>
    </xf>
    <xf numFmtId="0" fontId="0" fillId="5" borderId="0" xfId="0" applyFont="1" applyFill="1" applyBorder="1" applyAlignment="1">
      <alignment horizontal="left" wrapText="1"/>
    </xf>
    <xf numFmtId="0" fontId="0" fillId="5" borderId="7" xfId="0" applyFont="1" applyFill="1" applyBorder="1" applyAlignment="1">
      <alignment horizontal="left" wrapText="1"/>
    </xf>
    <xf numFmtId="0" fontId="0" fillId="5" borderId="8" xfId="0" applyFont="1" applyFill="1" applyBorder="1" applyAlignment="1">
      <alignment horizontal="center"/>
    </xf>
    <xf numFmtId="0" fontId="0" fillId="5" borderId="9" xfId="0" applyFill="1" applyBorder="1" applyAlignment="1">
      <alignment horizontal="center"/>
    </xf>
    <xf numFmtId="0" fontId="0" fillId="5" borderId="9" xfId="0" applyFill="1" applyBorder="1"/>
    <xf numFmtId="0" fontId="0" fillId="5" borderId="9" xfId="0" applyFont="1" applyFill="1" applyBorder="1" applyAlignment="1">
      <alignment horizontal="center"/>
    </xf>
    <xf numFmtId="0" fontId="0" fillId="5" borderId="9" xfId="0" applyFont="1" applyFill="1" applyBorder="1" applyAlignment="1">
      <alignment horizontal="center" wrapText="1"/>
    </xf>
    <xf numFmtId="0" fontId="0" fillId="5" borderId="9" xfId="0" applyFont="1" applyFill="1" applyBorder="1" applyAlignment="1">
      <alignment horizontal="left" wrapText="1"/>
    </xf>
    <xf numFmtId="0" fontId="0" fillId="5" borderId="10" xfId="0" applyFont="1" applyFill="1" applyBorder="1" applyAlignment="1">
      <alignment horizontal="left" wrapText="1"/>
    </xf>
    <xf numFmtId="0" fontId="1" fillId="0" borderId="0" xfId="0" applyFont="1" applyAlignment="1">
      <alignment horizontal="center"/>
    </xf>
    <xf numFmtId="0" fontId="1" fillId="0" borderId="1" xfId="0" applyFont="1" applyBorder="1" applyAlignment="1">
      <alignment horizontal="center"/>
    </xf>
    <xf numFmtId="0" fontId="1" fillId="0" borderId="0" xfId="0" applyFont="1" applyBorder="1" applyAlignment="1">
      <alignment horizontal="center"/>
    </xf>
    <xf numFmtId="3" fontId="1" fillId="0" borderId="0" xfId="0" applyNumberFormat="1" applyFont="1" applyBorder="1" applyAlignment="1">
      <alignment horizontal="center"/>
    </xf>
    <xf numFmtId="3" fontId="0" fillId="0" borderId="0" xfId="0" applyNumberFormat="1"/>
    <xf numFmtId="10" fontId="1" fillId="0" borderId="0" xfId="0" applyNumberFormat="1" applyFont="1" applyBorder="1" applyAlignment="1">
      <alignment horizontal="center"/>
    </xf>
    <xf numFmtId="10" fontId="0" fillId="0" borderId="0" xfId="0" applyNumberFormat="1"/>
    <xf numFmtId="3" fontId="0" fillId="0" borderId="0" xfId="0" applyNumberFormat="1" applyFill="1" applyAlignment="1">
      <alignment horizontal="center"/>
    </xf>
    <xf numFmtId="0" fontId="7" fillId="0" borderId="0" xfId="0" applyFont="1" applyAlignment="1">
      <alignment horizontal="center"/>
    </xf>
    <xf numFmtId="0" fontId="0" fillId="7" borderId="0" xfId="0" applyFill="1" applyBorder="1" applyAlignment="1">
      <alignment horizontal="center"/>
    </xf>
    <xf numFmtId="0" fontId="0" fillId="7" borderId="0" xfId="0" applyFill="1" applyBorder="1"/>
    <xf numFmtId="0" fontId="0" fillId="7" borderId="0" xfId="0" applyFont="1" applyFill="1" applyBorder="1" applyAlignment="1">
      <alignment horizontal="center"/>
    </xf>
    <xf numFmtId="0" fontId="0" fillId="7" borderId="0" xfId="0" applyFont="1" applyFill="1" applyBorder="1" applyAlignment="1">
      <alignment horizontal="center" wrapText="1"/>
    </xf>
    <xf numFmtId="0" fontId="0" fillId="7" borderId="0" xfId="0" applyFont="1" applyFill="1" applyBorder="1" applyAlignment="1">
      <alignment horizontal="left" wrapText="1"/>
    </xf>
    <xf numFmtId="0" fontId="0" fillId="8" borderId="0" xfId="0" applyFill="1" applyBorder="1" applyAlignment="1">
      <alignment horizontal="center"/>
    </xf>
    <xf numFmtId="0" fontId="0" fillId="8" borderId="0" xfId="0" applyFill="1" applyBorder="1"/>
    <xf numFmtId="0" fontId="0" fillId="8" borderId="0" xfId="0" applyFont="1" applyFill="1" applyBorder="1" applyAlignment="1">
      <alignment horizontal="center"/>
    </xf>
    <xf numFmtId="0" fontId="0" fillId="8" borderId="0" xfId="0" applyFont="1" applyFill="1" applyBorder="1" applyAlignment="1">
      <alignment horizontal="center" wrapText="1"/>
    </xf>
    <xf numFmtId="0" fontId="0" fillId="8" borderId="0" xfId="0" applyFont="1" applyFill="1" applyBorder="1" applyAlignment="1">
      <alignment horizontal="left" wrapText="1"/>
    </xf>
    <xf numFmtId="0" fontId="0" fillId="9" borderId="0" xfId="0" applyFill="1" applyBorder="1" applyAlignment="1">
      <alignment horizontal="center"/>
    </xf>
    <xf numFmtId="0" fontId="0" fillId="9" borderId="0" xfId="0" applyFill="1" applyBorder="1"/>
    <xf numFmtId="0" fontId="0" fillId="9" borderId="0" xfId="0" applyFont="1" applyFill="1" applyBorder="1" applyAlignment="1">
      <alignment horizontal="center"/>
    </xf>
    <xf numFmtId="0" fontId="0" fillId="9" borderId="0" xfId="0" applyFont="1" applyFill="1" applyBorder="1" applyAlignment="1">
      <alignment horizontal="center" wrapText="1"/>
    </xf>
    <xf numFmtId="0" fontId="0" fillId="9" borderId="0" xfId="0" applyFont="1" applyFill="1" applyBorder="1" applyAlignment="1">
      <alignment horizontal="left" wrapText="1"/>
    </xf>
    <xf numFmtId="0" fontId="0" fillId="10" borderId="0" xfId="0" applyFill="1" applyBorder="1" applyAlignment="1">
      <alignment horizontal="center"/>
    </xf>
    <xf numFmtId="0" fontId="0" fillId="10" borderId="0" xfId="0" applyFill="1" applyBorder="1"/>
    <xf numFmtId="0" fontId="0" fillId="10" borderId="0" xfId="0" applyFont="1" applyFill="1" applyBorder="1" applyAlignment="1">
      <alignment horizontal="center"/>
    </xf>
    <xf numFmtId="0" fontId="0" fillId="10" borderId="0" xfId="0" applyFont="1" applyFill="1" applyBorder="1" applyAlignment="1">
      <alignment horizontal="center" wrapText="1"/>
    </xf>
    <xf numFmtId="0" fontId="0" fillId="10" borderId="0" xfId="0" applyFont="1" applyFill="1" applyBorder="1" applyAlignment="1">
      <alignment horizontal="left" wrapText="1"/>
    </xf>
    <xf numFmtId="0" fontId="0" fillId="11" borderId="0" xfId="0" applyFill="1" applyBorder="1" applyAlignment="1">
      <alignment horizontal="center"/>
    </xf>
    <xf numFmtId="0" fontId="0" fillId="11" borderId="0" xfId="0" applyFill="1" applyBorder="1"/>
    <xf numFmtId="0" fontId="0" fillId="11" borderId="0" xfId="0" applyFont="1" applyFill="1" applyBorder="1" applyAlignment="1">
      <alignment horizontal="center"/>
    </xf>
    <xf numFmtId="0" fontId="0" fillId="11" borderId="0" xfId="0" applyFont="1" applyFill="1" applyBorder="1" applyAlignment="1">
      <alignment horizontal="center" wrapText="1"/>
    </xf>
    <xf numFmtId="0" fontId="0" fillId="11" borderId="0" xfId="0" applyFont="1" applyFill="1" applyBorder="1" applyAlignment="1">
      <alignment horizontal="left" wrapText="1"/>
    </xf>
    <xf numFmtId="0" fontId="0" fillId="7" borderId="3" xfId="0" applyFont="1" applyFill="1" applyBorder="1" applyAlignment="1">
      <alignment horizontal="center"/>
    </xf>
    <xf numFmtId="0" fontId="0" fillId="7" borderId="4" xfId="0" applyFill="1" applyBorder="1" applyAlignment="1">
      <alignment horizontal="center"/>
    </xf>
    <xf numFmtId="0" fontId="0" fillId="7" borderId="4" xfId="0" applyFill="1" applyBorder="1"/>
    <xf numFmtId="0" fontId="0" fillId="7" borderId="4" xfId="0" applyFont="1" applyFill="1" applyBorder="1" applyAlignment="1">
      <alignment horizontal="center"/>
    </xf>
    <xf numFmtId="0" fontId="0" fillId="7" borderId="4" xfId="0" applyFont="1" applyFill="1" applyBorder="1" applyAlignment="1">
      <alignment horizontal="center" wrapText="1"/>
    </xf>
    <xf numFmtId="0" fontId="0" fillId="7" borderId="4" xfId="0" applyFont="1" applyFill="1" applyBorder="1" applyAlignment="1">
      <alignment horizontal="left" wrapText="1"/>
    </xf>
    <xf numFmtId="0" fontId="0" fillId="7" borderId="5" xfId="0" applyFont="1" applyFill="1" applyBorder="1" applyAlignment="1">
      <alignment horizontal="left" wrapText="1"/>
    </xf>
    <xf numFmtId="0" fontId="0" fillId="7" borderId="6" xfId="0" applyFont="1" applyFill="1" applyBorder="1" applyAlignment="1">
      <alignment horizontal="center"/>
    </xf>
    <xf numFmtId="0" fontId="0" fillId="7" borderId="7" xfId="0" applyFont="1" applyFill="1" applyBorder="1" applyAlignment="1">
      <alignment horizontal="left" wrapText="1"/>
    </xf>
    <xf numFmtId="0" fontId="0" fillId="7" borderId="8" xfId="0" applyFont="1" applyFill="1" applyBorder="1" applyAlignment="1">
      <alignment horizontal="center"/>
    </xf>
    <xf numFmtId="0" fontId="0" fillId="7" borderId="9" xfId="0" applyFill="1" applyBorder="1" applyAlignment="1">
      <alignment horizontal="center"/>
    </xf>
    <xf numFmtId="0" fontId="0" fillId="7" borderId="9" xfId="0" applyFill="1" applyBorder="1"/>
    <xf numFmtId="0" fontId="0" fillId="7" borderId="9" xfId="0" applyFont="1" applyFill="1" applyBorder="1" applyAlignment="1">
      <alignment horizontal="center"/>
    </xf>
    <xf numFmtId="0" fontId="0" fillId="7" borderId="9" xfId="0" applyFont="1" applyFill="1" applyBorder="1" applyAlignment="1">
      <alignment horizontal="center" wrapText="1"/>
    </xf>
    <xf numFmtId="0" fontId="0" fillId="7" borderId="9" xfId="0" applyFont="1" applyFill="1" applyBorder="1" applyAlignment="1">
      <alignment horizontal="left" wrapText="1"/>
    </xf>
    <xf numFmtId="0" fontId="0" fillId="7" borderId="10" xfId="0" applyFont="1" applyFill="1" applyBorder="1" applyAlignment="1">
      <alignment horizontal="left" wrapText="1"/>
    </xf>
    <xf numFmtId="0" fontId="0" fillId="8" borderId="3" xfId="0" applyFont="1" applyFill="1" applyBorder="1" applyAlignment="1">
      <alignment horizontal="center"/>
    </xf>
    <xf numFmtId="0" fontId="0" fillId="8" borderId="4" xfId="0" applyFill="1" applyBorder="1" applyAlignment="1">
      <alignment horizontal="center"/>
    </xf>
    <xf numFmtId="0" fontId="0" fillId="8" borderId="4" xfId="0" applyFill="1" applyBorder="1"/>
    <xf numFmtId="0" fontId="0" fillId="8" borderId="4" xfId="0" applyFont="1" applyFill="1" applyBorder="1" applyAlignment="1">
      <alignment horizontal="center"/>
    </xf>
    <xf numFmtId="0" fontId="0" fillId="8" borderId="4" xfId="0" applyFont="1" applyFill="1" applyBorder="1" applyAlignment="1">
      <alignment horizontal="center" wrapText="1"/>
    </xf>
    <xf numFmtId="0" fontId="0" fillId="8" borderId="4" xfId="0" applyFont="1" applyFill="1" applyBorder="1" applyAlignment="1">
      <alignment horizontal="left" wrapText="1"/>
    </xf>
    <xf numFmtId="0" fontId="0" fillId="8" borderId="5" xfId="0" applyFont="1" applyFill="1" applyBorder="1" applyAlignment="1">
      <alignment horizontal="left" wrapText="1"/>
    </xf>
    <xf numFmtId="0" fontId="0" fillId="8" borderId="6" xfId="0" applyFont="1" applyFill="1" applyBorder="1" applyAlignment="1">
      <alignment horizontal="center"/>
    </xf>
    <xf numFmtId="0" fontId="0" fillId="8" borderId="7" xfId="0" applyFont="1" applyFill="1" applyBorder="1" applyAlignment="1">
      <alignment horizontal="left" wrapText="1"/>
    </xf>
    <xf numFmtId="0" fontId="0" fillId="8" borderId="8" xfId="0" applyFont="1" applyFill="1" applyBorder="1" applyAlignment="1">
      <alignment horizontal="center"/>
    </xf>
    <xf numFmtId="0" fontId="0" fillId="8" borderId="9" xfId="0" applyFill="1" applyBorder="1" applyAlignment="1">
      <alignment horizontal="center"/>
    </xf>
    <xf numFmtId="0" fontId="0" fillId="8" borderId="9" xfId="0" applyFill="1" applyBorder="1"/>
    <xf numFmtId="0" fontId="0" fillId="8" borderId="9" xfId="0" applyFont="1" applyFill="1" applyBorder="1" applyAlignment="1">
      <alignment horizontal="center"/>
    </xf>
    <xf numFmtId="0" fontId="0" fillId="8" borderId="9" xfId="0" applyFont="1" applyFill="1" applyBorder="1" applyAlignment="1">
      <alignment horizontal="center" wrapText="1"/>
    </xf>
    <xf numFmtId="0" fontId="0" fillId="8" borderId="9" xfId="0" applyFont="1" applyFill="1" applyBorder="1" applyAlignment="1">
      <alignment horizontal="left" wrapText="1"/>
    </xf>
    <xf numFmtId="0" fontId="0" fillId="8" borderId="10" xfId="0" applyFont="1" applyFill="1" applyBorder="1" applyAlignment="1">
      <alignment horizontal="left" wrapText="1"/>
    </xf>
    <xf numFmtId="0" fontId="0" fillId="11" borderId="3" xfId="0" applyFont="1" applyFill="1" applyBorder="1" applyAlignment="1">
      <alignment horizontal="center"/>
    </xf>
    <xf numFmtId="0" fontId="0" fillId="11" borderId="4" xfId="0" applyFill="1" applyBorder="1" applyAlignment="1">
      <alignment horizontal="center"/>
    </xf>
    <xf numFmtId="0" fontId="0" fillId="11" borderId="4" xfId="0" applyFill="1" applyBorder="1"/>
    <xf numFmtId="0" fontId="0" fillId="11" borderId="4" xfId="0" applyFont="1" applyFill="1" applyBorder="1" applyAlignment="1">
      <alignment horizontal="center"/>
    </xf>
    <xf numFmtId="0" fontId="0" fillId="11" borderId="4" xfId="0" applyFont="1" applyFill="1" applyBorder="1" applyAlignment="1">
      <alignment horizontal="center" wrapText="1"/>
    </xf>
    <xf numFmtId="0" fontId="0" fillId="11" borderId="4" xfId="0" applyFont="1" applyFill="1" applyBorder="1" applyAlignment="1">
      <alignment horizontal="left" wrapText="1"/>
    </xf>
    <xf numFmtId="0" fontId="0" fillId="11" borderId="5" xfId="0" applyFont="1" applyFill="1" applyBorder="1" applyAlignment="1">
      <alignment horizontal="left" wrapText="1"/>
    </xf>
    <xf numFmtId="0" fontId="0" fillId="11" borderId="6" xfId="0" applyFont="1" applyFill="1" applyBorder="1" applyAlignment="1">
      <alignment horizontal="center"/>
    </xf>
    <xf numFmtId="0" fontId="0" fillId="11" borderId="7" xfId="0" applyFont="1" applyFill="1" applyBorder="1" applyAlignment="1">
      <alignment horizontal="left" wrapText="1"/>
    </xf>
    <xf numFmtId="0" fontId="0" fillId="11" borderId="8" xfId="0" applyFont="1" applyFill="1" applyBorder="1" applyAlignment="1">
      <alignment horizontal="center"/>
    </xf>
    <xf numFmtId="0" fontId="0" fillId="11" borderId="9" xfId="0" applyFill="1" applyBorder="1" applyAlignment="1">
      <alignment horizontal="center"/>
    </xf>
    <xf numFmtId="0" fontId="0" fillId="11" borderId="9" xfId="0" applyFill="1" applyBorder="1"/>
    <xf numFmtId="0" fontId="0" fillId="11" borderId="9" xfId="0" applyFont="1" applyFill="1" applyBorder="1" applyAlignment="1">
      <alignment horizontal="center"/>
    </xf>
    <xf numFmtId="0" fontId="0" fillId="11" borderId="9" xfId="0" applyFont="1" applyFill="1" applyBorder="1" applyAlignment="1">
      <alignment horizontal="center" wrapText="1"/>
    </xf>
    <xf numFmtId="0" fontId="0" fillId="11" borderId="9" xfId="0" applyFont="1" applyFill="1" applyBorder="1" applyAlignment="1">
      <alignment horizontal="left" wrapText="1"/>
    </xf>
    <xf numFmtId="0" fontId="0" fillId="11" borderId="10" xfId="0" applyFont="1" applyFill="1" applyBorder="1" applyAlignment="1">
      <alignment horizontal="left" wrapText="1"/>
    </xf>
    <xf numFmtId="0" fontId="0" fillId="9" borderId="3" xfId="0" applyFont="1" applyFill="1" applyBorder="1" applyAlignment="1">
      <alignment horizontal="center"/>
    </xf>
    <xf numFmtId="0" fontId="0" fillId="9" borderId="4" xfId="0" applyFill="1" applyBorder="1" applyAlignment="1">
      <alignment horizontal="center"/>
    </xf>
    <xf numFmtId="0" fontId="0" fillId="9" borderId="4" xfId="0" applyFill="1" applyBorder="1"/>
    <xf numFmtId="0" fontId="0" fillId="9" borderId="4" xfId="0" applyFont="1" applyFill="1" applyBorder="1" applyAlignment="1">
      <alignment horizontal="center"/>
    </xf>
    <xf numFmtId="0" fontId="0" fillId="9" borderId="4" xfId="0" applyFont="1" applyFill="1" applyBorder="1" applyAlignment="1">
      <alignment horizontal="center" wrapText="1"/>
    </xf>
    <xf numFmtId="0" fontId="0" fillId="9" borderId="4" xfId="0" applyFont="1" applyFill="1" applyBorder="1" applyAlignment="1">
      <alignment horizontal="left" wrapText="1"/>
    </xf>
    <xf numFmtId="0" fontId="0" fillId="9" borderId="5" xfId="0" applyFont="1" applyFill="1" applyBorder="1" applyAlignment="1">
      <alignment horizontal="left" wrapText="1"/>
    </xf>
    <xf numFmtId="0" fontId="0" fillId="9" borderId="6" xfId="0" applyFont="1" applyFill="1" applyBorder="1" applyAlignment="1">
      <alignment horizontal="center"/>
    </xf>
    <xf numFmtId="0" fontId="0" fillId="9" borderId="7" xfId="0" applyFont="1" applyFill="1" applyBorder="1" applyAlignment="1">
      <alignment horizontal="left" wrapText="1"/>
    </xf>
    <xf numFmtId="0" fontId="0" fillId="9" borderId="8" xfId="0" applyFont="1" applyFill="1" applyBorder="1" applyAlignment="1">
      <alignment horizontal="center"/>
    </xf>
    <xf numFmtId="0" fontId="0" fillId="9" borderId="9" xfId="0" applyFill="1" applyBorder="1" applyAlignment="1">
      <alignment horizontal="center"/>
    </xf>
    <xf numFmtId="0" fontId="0" fillId="9" borderId="9" xfId="0" applyFill="1" applyBorder="1"/>
    <xf numFmtId="0" fontId="0" fillId="9" borderId="9" xfId="0" applyFont="1" applyFill="1" applyBorder="1" applyAlignment="1">
      <alignment horizontal="center"/>
    </xf>
    <xf numFmtId="0" fontId="0" fillId="9" borderId="9" xfId="0" applyFont="1" applyFill="1" applyBorder="1" applyAlignment="1">
      <alignment horizontal="center" wrapText="1"/>
    </xf>
    <xf numFmtId="0" fontId="0" fillId="9" borderId="9" xfId="0" applyFont="1" applyFill="1" applyBorder="1" applyAlignment="1">
      <alignment horizontal="left" wrapText="1"/>
    </xf>
    <xf numFmtId="0" fontId="0" fillId="9" borderId="10" xfId="0" applyFont="1" applyFill="1" applyBorder="1" applyAlignment="1">
      <alignment horizontal="left" wrapText="1"/>
    </xf>
    <xf numFmtId="0" fontId="0" fillId="10" borderId="3" xfId="0" applyFont="1" applyFill="1" applyBorder="1" applyAlignment="1">
      <alignment horizontal="center"/>
    </xf>
    <xf numFmtId="0" fontId="0" fillId="10" borderId="4" xfId="0" applyFill="1" applyBorder="1" applyAlignment="1">
      <alignment horizontal="center"/>
    </xf>
    <xf numFmtId="0" fontId="0" fillId="10" borderId="4" xfId="0" applyFill="1" applyBorder="1"/>
    <xf numFmtId="0" fontId="0" fillId="10" borderId="4" xfId="0" applyFont="1" applyFill="1" applyBorder="1" applyAlignment="1">
      <alignment horizontal="center"/>
    </xf>
    <xf numFmtId="0" fontId="0" fillId="10" borderId="4" xfId="0" applyFont="1" applyFill="1" applyBorder="1" applyAlignment="1">
      <alignment horizontal="center" wrapText="1"/>
    </xf>
    <xf numFmtId="0" fontId="0" fillId="10" borderId="4" xfId="0" applyFont="1" applyFill="1" applyBorder="1" applyAlignment="1">
      <alignment horizontal="left" wrapText="1"/>
    </xf>
    <xf numFmtId="0" fontId="0" fillId="10" borderId="5" xfId="0" applyFont="1" applyFill="1" applyBorder="1" applyAlignment="1">
      <alignment horizontal="left" wrapText="1"/>
    </xf>
    <xf numFmtId="0" fontId="0" fillId="10" borderId="6" xfId="0" applyFont="1" applyFill="1" applyBorder="1" applyAlignment="1">
      <alignment horizontal="center"/>
    </xf>
    <xf numFmtId="0" fontId="0" fillId="10" borderId="7" xfId="0" applyFont="1" applyFill="1" applyBorder="1" applyAlignment="1">
      <alignment horizontal="left" wrapText="1"/>
    </xf>
    <xf numFmtId="0" fontId="0" fillId="10" borderId="8" xfId="0" applyFont="1" applyFill="1" applyBorder="1" applyAlignment="1">
      <alignment horizontal="center"/>
    </xf>
    <xf numFmtId="0" fontId="0" fillId="10" borderId="9" xfId="0" applyFill="1" applyBorder="1" applyAlignment="1">
      <alignment horizontal="center"/>
    </xf>
    <xf numFmtId="0" fontId="0" fillId="10" borderId="9" xfId="0" applyFill="1" applyBorder="1"/>
    <xf numFmtId="0" fontId="0" fillId="10" borderId="9" xfId="0" applyFont="1" applyFill="1" applyBorder="1" applyAlignment="1">
      <alignment horizontal="center"/>
    </xf>
    <xf numFmtId="0" fontId="0" fillId="10" borderId="9" xfId="0" applyFont="1" applyFill="1" applyBorder="1" applyAlignment="1">
      <alignment horizontal="center" wrapText="1"/>
    </xf>
    <xf numFmtId="0" fontId="0" fillId="10" borderId="9" xfId="0" applyFont="1" applyFill="1" applyBorder="1" applyAlignment="1">
      <alignment horizontal="left" wrapText="1"/>
    </xf>
    <xf numFmtId="0" fontId="0" fillId="10" borderId="10" xfId="0" applyFont="1" applyFill="1" applyBorder="1" applyAlignment="1">
      <alignment horizontal="left" wrapText="1"/>
    </xf>
    <xf numFmtId="0" fontId="0" fillId="12" borderId="3" xfId="0" applyFont="1" applyFill="1" applyBorder="1" applyAlignment="1">
      <alignment horizontal="center"/>
    </xf>
    <xf numFmtId="0" fontId="0" fillId="12" borderId="4" xfId="0" applyFill="1" applyBorder="1" applyAlignment="1">
      <alignment horizontal="center"/>
    </xf>
    <xf numFmtId="0" fontId="0" fillId="12" borderId="4" xfId="0" applyFont="1" applyFill="1" applyBorder="1" applyAlignment="1">
      <alignment horizontal="center"/>
    </xf>
    <xf numFmtId="0" fontId="0" fillId="12" borderId="4" xfId="0" applyFont="1" applyFill="1" applyBorder="1" applyAlignment="1">
      <alignment horizontal="center" wrapText="1"/>
    </xf>
    <xf numFmtId="0" fontId="0" fillId="12" borderId="5" xfId="0" applyFont="1" applyFill="1" applyBorder="1" applyAlignment="1">
      <alignment horizontal="left" wrapText="1"/>
    </xf>
    <xf numFmtId="0" fontId="0" fillId="12" borderId="8" xfId="0" applyFont="1" applyFill="1" applyBorder="1" applyAlignment="1">
      <alignment horizontal="center"/>
    </xf>
    <xf numFmtId="0" fontId="0" fillId="12" borderId="9" xfId="0" applyFill="1" applyBorder="1" applyAlignment="1">
      <alignment horizontal="center"/>
    </xf>
    <xf numFmtId="0" fontId="0" fillId="12" borderId="9" xfId="0" applyFont="1" applyFill="1" applyBorder="1" applyAlignment="1">
      <alignment horizontal="center"/>
    </xf>
    <xf numFmtId="0" fontId="0" fillId="12" borderId="9" xfId="0" applyFont="1" applyFill="1" applyBorder="1" applyAlignment="1">
      <alignment horizontal="center" wrapText="1"/>
    </xf>
    <xf numFmtId="0" fontId="0" fillId="12" borderId="10" xfId="0" applyFont="1" applyFill="1" applyBorder="1" applyAlignment="1">
      <alignment horizontal="left" wrapText="1"/>
    </xf>
    <xf numFmtId="0" fontId="0" fillId="10" borderId="16" xfId="0" applyFont="1" applyFill="1" applyBorder="1" applyAlignment="1">
      <alignment horizontal="center"/>
    </xf>
    <xf numFmtId="0" fontId="0" fillId="10" borderId="17" xfId="0" applyFill="1" applyBorder="1" applyAlignment="1">
      <alignment horizontal="center"/>
    </xf>
    <xf numFmtId="0" fontId="0" fillId="10" borderId="17" xfId="0" applyFont="1" applyFill="1" applyBorder="1" applyAlignment="1">
      <alignment horizontal="center"/>
    </xf>
    <xf numFmtId="0" fontId="0" fillId="10" borderId="17" xfId="0" applyFont="1" applyFill="1" applyBorder="1" applyAlignment="1">
      <alignment horizontal="center" wrapText="1"/>
    </xf>
    <xf numFmtId="0" fontId="0" fillId="10" borderId="18" xfId="0" applyFont="1" applyFill="1" applyBorder="1" applyAlignment="1">
      <alignment horizontal="left" wrapText="1"/>
    </xf>
    <xf numFmtId="1" fontId="2" fillId="15" borderId="16" xfId="0" applyNumberFormat="1" applyFont="1" applyFill="1" applyBorder="1" applyAlignment="1">
      <alignment horizontal="center"/>
    </xf>
    <xf numFmtId="0" fontId="0" fillId="15" borderId="17" xfId="0" applyFont="1" applyFill="1" applyBorder="1" applyAlignment="1">
      <alignment horizontal="center"/>
    </xf>
    <xf numFmtId="0" fontId="2" fillId="15" borderId="17" xfId="0" applyFont="1" applyFill="1" applyBorder="1" applyAlignment="1">
      <alignment horizontal="center"/>
    </xf>
    <xf numFmtId="0" fontId="2" fillId="15" borderId="18" xfId="0" applyFont="1" applyFill="1" applyBorder="1"/>
    <xf numFmtId="0" fontId="0" fillId="14" borderId="3" xfId="0" applyFont="1" applyFill="1" applyBorder="1" applyAlignment="1">
      <alignment horizontal="center"/>
    </xf>
    <xf numFmtId="0" fontId="0" fillId="14" borderId="4" xfId="0" applyFill="1" applyBorder="1" applyAlignment="1">
      <alignment horizontal="center"/>
    </xf>
    <xf numFmtId="0" fontId="0" fillId="14" borderId="4" xfId="0" applyFont="1" applyFill="1" applyBorder="1" applyAlignment="1">
      <alignment horizontal="center"/>
    </xf>
    <xf numFmtId="0" fontId="0" fillId="14" borderId="4" xfId="0" applyFont="1" applyFill="1" applyBorder="1" applyAlignment="1">
      <alignment horizontal="center" wrapText="1"/>
    </xf>
    <xf numFmtId="0" fontId="0" fillId="14" borderId="5" xfId="0" applyFont="1" applyFill="1" applyBorder="1" applyAlignment="1">
      <alignment horizontal="left" wrapText="1"/>
    </xf>
    <xf numFmtId="0" fontId="0" fillId="14" borderId="8" xfId="0" applyFont="1" applyFill="1" applyBorder="1" applyAlignment="1">
      <alignment horizontal="center"/>
    </xf>
    <xf numFmtId="0" fontId="0" fillId="14" borderId="9" xfId="0" applyFill="1" applyBorder="1" applyAlignment="1">
      <alignment horizontal="center"/>
    </xf>
    <xf numFmtId="0" fontId="0" fillId="14" borderId="9" xfId="0" applyFont="1" applyFill="1" applyBorder="1" applyAlignment="1">
      <alignment horizontal="center"/>
    </xf>
    <xf numFmtId="0" fontId="0" fillId="14" borderId="9" xfId="0" applyFont="1" applyFill="1" applyBorder="1" applyAlignment="1">
      <alignment horizontal="center" wrapText="1"/>
    </xf>
    <xf numFmtId="0" fontId="0" fillId="14" borderId="10" xfId="0" applyFont="1" applyFill="1" applyBorder="1" applyAlignment="1">
      <alignment horizontal="left" wrapText="1"/>
    </xf>
    <xf numFmtId="0" fontId="0" fillId="13" borderId="16" xfId="0" applyFont="1" applyFill="1" applyBorder="1" applyAlignment="1">
      <alignment horizontal="center"/>
    </xf>
    <xf numFmtId="0" fontId="0" fillId="13" borderId="17" xfId="0" applyFill="1" applyBorder="1" applyAlignment="1">
      <alignment horizontal="center"/>
    </xf>
    <xf numFmtId="0" fontId="0" fillId="13" borderId="17" xfId="0" applyFont="1" applyFill="1" applyBorder="1" applyAlignment="1">
      <alignment horizontal="center"/>
    </xf>
    <xf numFmtId="0" fontId="0" fillId="13" borderId="17" xfId="0" applyFont="1" applyFill="1" applyBorder="1" applyAlignment="1">
      <alignment horizontal="center" wrapText="1"/>
    </xf>
    <xf numFmtId="0" fontId="0" fillId="13" borderId="18" xfId="0" applyFont="1" applyFill="1" applyBorder="1" applyAlignment="1">
      <alignment horizontal="left" wrapText="1"/>
    </xf>
    <xf numFmtId="0" fontId="0" fillId="0" borderId="4" xfId="0" applyFont="1" applyFill="1" applyBorder="1"/>
    <xf numFmtId="0" fontId="0" fillId="0" borderId="5" xfId="0" applyFont="1" applyFill="1" applyBorder="1" applyAlignment="1">
      <alignment horizontal="left"/>
    </xf>
    <xf numFmtId="0" fontId="0" fillId="0" borderId="7" xfId="0" applyFont="1" applyFill="1" applyBorder="1" applyAlignment="1">
      <alignment horizontal="left"/>
    </xf>
    <xf numFmtId="0" fontId="0" fillId="0" borderId="9" xfId="0" applyFont="1" applyFill="1" applyBorder="1"/>
    <xf numFmtId="0" fontId="0" fillId="0" borderId="10" xfId="0" applyFont="1" applyFill="1" applyBorder="1" applyAlignment="1">
      <alignment horizontal="left"/>
    </xf>
    <xf numFmtId="0" fontId="2" fillId="0" borderId="1" xfId="0" applyFont="1" applyFill="1" applyBorder="1" applyAlignment="1">
      <alignment horizontal="center"/>
    </xf>
    <xf numFmtId="0" fontId="0" fillId="0" borderId="1" xfId="0" applyFont="1" applyFill="1" applyBorder="1" applyAlignment="1">
      <alignment horizontal="center"/>
    </xf>
    <xf numFmtId="0" fontId="2" fillId="0" borderId="1" xfId="0" applyFont="1" applyFill="1" applyBorder="1"/>
    <xf numFmtId="0" fontId="2" fillId="0" borderId="1" xfId="0" applyFont="1" applyFill="1" applyBorder="1" applyAlignment="1">
      <alignment horizontal="right"/>
    </xf>
    <xf numFmtId="0" fontId="0" fillId="0" borderId="20" xfId="0" applyBorder="1" applyAlignment="1">
      <alignment horizontal="center"/>
    </xf>
    <xf numFmtId="0" fontId="0" fillId="0" borderId="20" xfId="0" applyBorder="1"/>
    <xf numFmtId="3" fontId="0" fillId="0" borderId="22" xfId="0" applyNumberFormat="1" applyBorder="1" applyAlignment="1">
      <alignment horizontal="center"/>
    </xf>
    <xf numFmtId="0" fontId="0" fillId="0" borderId="22" xfId="0" applyFill="1" applyBorder="1"/>
    <xf numFmtId="0" fontId="0" fillId="0" borderId="22" xfId="0" applyBorder="1"/>
    <xf numFmtId="0" fontId="0" fillId="0" borderId="19" xfId="0" applyBorder="1"/>
    <xf numFmtId="0" fontId="0" fillId="0" borderId="20" xfId="0" applyBorder="1" applyAlignment="1">
      <alignment horizontal="right"/>
    </xf>
    <xf numFmtId="10" fontId="0" fillId="0" borderId="21" xfId="0" applyNumberFormat="1" applyBorder="1" applyAlignment="1">
      <alignment horizontal="center"/>
    </xf>
    <xf numFmtId="0" fontId="0" fillId="16" borderId="7" xfId="0" applyFill="1" applyBorder="1" applyAlignment="1">
      <alignment horizontal="center"/>
    </xf>
    <xf numFmtId="0" fontId="0" fillId="16" borderId="0" xfId="0" applyFill="1" applyBorder="1" applyAlignment="1">
      <alignment horizontal="center"/>
    </xf>
    <xf numFmtId="0" fontId="0" fillId="16" borderId="4" xfId="0" applyFill="1" applyBorder="1" applyAlignment="1">
      <alignment horizontal="center"/>
    </xf>
    <xf numFmtId="0" fontId="0" fillId="16" borderId="3" xfId="0" applyFill="1" applyBorder="1" applyAlignment="1">
      <alignment horizontal="center"/>
    </xf>
    <xf numFmtId="0" fontId="0" fillId="16" borderId="12" xfId="0" applyFill="1" applyBorder="1" applyAlignment="1">
      <alignment horizontal="center"/>
    </xf>
    <xf numFmtId="0" fontId="0" fillId="16" borderId="6" xfId="0" applyFill="1" applyBorder="1" applyAlignment="1">
      <alignment horizontal="center"/>
    </xf>
    <xf numFmtId="0" fontId="0" fillId="16" borderId="13" xfId="0" applyFill="1" applyBorder="1" applyAlignment="1">
      <alignment horizontal="center"/>
    </xf>
    <xf numFmtId="3" fontId="2" fillId="0" borderId="0" xfId="0" applyNumberFormat="1" applyFont="1" applyFill="1" applyAlignment="1">
      <alignment horizontal="center"/>
    </xf>
    <xf numFmtId="3" fontId="0" fillId="0" borderId="0" xfId="0" applyNumberFormat="1" applyFont="1" applyFill="1" applyAlignment="1">
      <alignment horizontal="center"/>
    </xf>
    <xf numFmtId="164" fontId="0" fillId="0" borderId="0" xfId="0" applyNumberFormat="1"/>
    <xf numFmtId="0" fontId="2" fillId="0" borderId="0" xfId="0" applyFont="1" applyAlignment="1">
      <alignment horizontal="left"/>
    </xf>
    <xf numFmtId="0" fontId="2" fillId="0" borderId="0" xfId="0" applyFont="1"/>
    <xf numFmtId="0" fontId="0" fillId="8" borderId="0" xfId="0" applyFill="1" applyAlignment="1">
      <alignment horizontal="center"/>
    </xf>
    <xf numFmtId="0" fontId="0" fillId="8" borderId="1" xfId="0" applyFill="1" applyBorder="1" applyAlignment="1">
      <alignment horizontal="center"/>
    </xf>
    <xf numFmtId="0" fontId="0" fillId="7" borderId="0" xfId="0" applyFill="1" applyAlignment="1">
      <alignment horizontal="center"/>
    </xf>
    <xf numFmtId="0" fontId="0" fillId="7" borderId="1" xfId="0" applyFill="1" applyBorder="1" applyAlignment="1">
      <alignment horizontal="center"/>
    </xf>
    <xf numFmtId="0" fontId="0" fillId="0" borderId="7" xfId="0" applyFill="1" applyBorder="1" applyAlignment="1">
      <alignment horizontal="center"/>
    </xf>
    <xf numFmtId="0" fontId="1" fillId="0" borderId="0" xfId="0" applyFont="1" applyAlignment="1">
      <alignment horizontal="left"/>
    </xf>
    <xf numFmtId="0" fontId="2" fillId="0" borderId="22" xfId="0" applyFont="1" applyBorder="1"/>
    <xf numFmtId="0" fontId="2" fillId="0" borderId="0" xfId="0" applyFont="1" applyAlignment="1">
      <alignment horizontal="center"/>
    </xf>
    <xf numFmtId="0" fontId="2" fillId="0" borderId="1" xfId="0" applyFont="1" applyBorder="1" applyAlignment="1">
      <alignment horizontal="center"/>
    </xf>
    <xf numFmtId="1" fontId="0" fillId="0" borderId="0" xfId="0" applyNumberFormat="1" applyAlignment="1">
      <alignment horizontal="center"/>
    </xf>
  </cellXfs>
  <cellStyles count="4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Normal" xfId="0" builtinId="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8" tint="0.39994506668294322"/>
        </patternFill>
      </fill>
    </dxf>
    <dxf>
      <font>
        <color auto="1"/>
      </font>
      <fill>
        <patternFill>
          <bgColor rgb="FFFF7F82"/>
        </patternFill>
      </fill>
    </dxf>
    <dxf>
      <font>
        <color auto="1"/>
      </font>
      <fill>
        <patternFill>
          <bgColor rgb="FFEDEE00"/>
        </patternFill>
      </fill>
    </dxf>
    <dxf>
      <font>
        <color auto="1"/>
      </font>
      <fill>
        <patternFill>
          <bgColor rgb="FF92D050"/>
        </patternFill>
      </fill>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4E137"/>
      <color rgb="FF9EC0FF"/>
      <color rgb="FF73FBB4"/>
      <color rgb="FFD1C476"/>
      <color rgb="FFB1A0C7"/>
      <color rgb="FFFBBF8F"/>
      <color rgb="FFD1C376"/>
      <color rgb="FFB2A765"/>
      <color rgb="FF73A2FB"/>
      <color rgb="FF73FA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09"/>
  <sheetViews>
    <sheetView showRuler="0" topLeftCell="C1" workbookViewId="0">
      <pane ySplit="1" topLeftCell="A2" activePane="bottomLeft" state="frozen"/>
      <selection activeCell="B33" sqref="B33"/>
      <selection pane="bottomLeft" activeCell="K26" sqref="K26"/>
    </sheetView>
  </sheetViews>
  <sheetFormatPr baseColWidth="10" defaultRowHeight="13" x14ac:dyDescent="0.15"/>
  <cols>
    <col min="1" max="1" width="4" style="8" customWidth="1"/>
    <col min="2" max="2" width="6.5" style="7" customWidth="1"/>
    <col min="3" max="3" width="12.5" style="7" customWidth="1"/>
    <col min="4" max="4" width="7.6640625" style="7" customWidth="1"/>
    <col min="5" max="5" width="7.5" style="7" customWidth="1"/>
    <col min="6" max="6" width="8.6640625" style="7" customWidth="1"/>
    <col min="7" max="7" width="12.83203125" style="7" customWidth="1"/>
    <col min="8" max="8" width="10.83203125" style="7"/>
    <col min="9" max="9" width="12.5" style="7" customWidth="1"/>
    <col min="10" max="12" width="6.83203125" style="13" customWidth="1"/>
    <col min="13" max="14" width="8.83203125" style="8" customWidth="1"/>
    <col min="15" max="15" width="2.83203125" style="8" customWidth="1"/>
    <col min="16" max="16" width="5.83203125" style="8" customWidth="1"/>
    <col min="17" max="17" width="6.83203125" style="8" customWidth="1"/>
    <col min="18" max="18" width="8.83203125" style="8" customWidth="1"/>
    <col min="19" max="20" width="9.83203125" style="8" customWidth="1"/>
    <col min="21" max="21" width="8.83203125" style="8" customWidth="1"/>
    <col min="22" max="22" width="9.83203125" style="8" customWidth="1"/>
    <col min="23" max="23" width="10.83203125" style="8" customWidth="1"/>
    <col min="24" max="24" width="8.83203125" style="8" customWidth="1"/>
    <col min="25" max="25" width="2.83203125" style="8" customWidth="1"/>
    <col min="26" max="26" width="7.33203125" style="7" customWidth="1"/>
    <col min="27" max="27" width="7.83203125" style="7" customWidth="1"/>
    <col min="28" max="28" width="18.1640625" style="7" customWidth="1"/>
    <col min="29" max="29" width="6.83203125" style="7" customWidth="1"/>
    <col min="30" max="30" width="35.5" style="8" customWidth="1"/>
    <col min="31" max="16384" width="10.83203125" style="8"/>
  </cols>
  <sheetData>
    <row r="1" spans="1:30" s="35" customFormat="1" ht="15" thickBot="1" x14ac:dyDescent="0.2">
      <c r="A1" s="34"/>
      <c r="B1" s="34"/>
      <c r="C1" s="34" t="s">
        <v>651</v>
      </c>
      <c r="D1" s="34" t="s">
        <v>435</v>
      </c>
      <c r="E1" s="34" t="s">
        <v>1</v>
      </c>
      <c r="F1" s="34" t="s">
        <v>653</v>
      </c>
      <c r="G1" s="34" t="s">
        <v>0</v>
      </c>
      <c r="H1" s="34" t="s">
        <v>579</v>
      </c>
      <c r="I1" s="34" t="s">
        <v>444</v>
      </c>
      <c r="J1" s="158" t="s">
        <v>670</v>
      </c>
      <c r="K1" s="158" t="s">
        <v>709</v>
      </c>
      <c r="L1" s="158" t="s">
        <v>669</v>
      </c>
      <c r="M1" s="34" t="s">
        <v>569</v>
      </c>
      <c r="N1" s="34" t="s">
        <v>570</v>
      </c>
      <c r="O1" s="34"/>
      <c r="P1" s="34" t="s">
        <v>433</v>
      </c>
      <c r="Q1" s="34" t="s">
        <v>7</v>
      </c>
      <c r="R1" s="34" t="s">
        <v>176</v>
      </c>
      <c r="S1" s="34" t="s">
        <v>257</v>
      </c>
      <c r="T1" s="34" t="s">
        <v>22</v>
      </c>
      <c r="U1" s="34" t="s">
        <v>590</v>
      </c>
      <c r="V1" s="34" t="s">
        <v>8</v>
      </c>
      <c r="W1" s="34" t="s">
        <v>437</v>
      </c>
      <c r="X1" s="34" t="s">
        <v>203</v>
      </c>
      <c r="Z1" s="34" t="s">
        <v>240</v>
      </c>
      <c r="AA1" s="34" t="s">
        <v>241</v>
      </c>
      <c r="AB1" s="34" t="s">
        <v>242</v>
      </c>
      <c r="AC1" s="34" t="s">
        <v>441</v>
      </c>
      <c r="AD1" s="35" t="s">
        <v>571</v>
      </c>
    </row>
    <row r="2" spans="1:30" ht="12" customHeight="1" x14ac:dyDescent="0.15">
      <c r="A2" s="7"/>
      <c r="B2" s="12"/>
      <c r="C2" s="12"/>
      <c r="D2" s="7">
        <v>101</v>
      </c>
      <c r="E2" s="7" t="s">
        <v>10</v>
      </c>
      <c r="F2" s="13"/>
      <c r="G2" s="12" t="s">
        <v>433</v>
      </c>
      <c r="H2" s="7" t="s">
        <v>30</v>
      </c>
      <c r="I2" s="7">
        <v>24</v>
      </c>
      <c r="J2" s="13">
        <v>3</v>
      </c>
      <c r="K2" s="334">
        <v>21</v>
      </c>
      <c r="L2" s="13" t="str">
        <f>IF(I2-J2-K2=0,"",I2-J2-K2)</f>
        <v/>
      </c>
      <c r="M2" s="7">
        <v>5</v>
      </c>
      <c r="N2" s="7">
        <f t="shared" ref="N2:N33" si="0">I2+M2</f>
        <v>29</v>
      </c>
      <c r="O2" s="7"/>
      <c r="P2" s="12">
        <f t="array" ref="P2">SUM(IF(Discs!B2:B282&lt;&gt;D2,0,IF(LEFT(Discs!K2:K282,5)&lt;&gt;"Ship-",0,1)))</f>
        <v>1</v>
      </c>
      <c r="Q2" s="12">
        <f t="array" ref="Q2">SUM(IF(Discs!B2:B282&lt;&gt;D2,0,IF(Discs!K2:K282&lt;&gt;"Crew",0,1)))</f>
        <v>1</v>
      </c>
      <c r="R2" s="12">
        <f t="array" ref="R2">SUM(IF(Discs!B2:B282&lt;&gt;D2,0,IF(Discs!K2:K282&lt;&gt;"Upgrade",0,1)))</f>
        <v>1</v>
      </c>
      <c r="S2" s="12">
        <f t="array" ref="S2">SUM(IF(Discs!B2:B282&lt;&gt;D2,0,IF(Discs!K2:K282&lt;&gt;"Personal",0,1)))</f>
        <v>0</v>
      </c>
      <c r="T2" s="7">
        <f t="array" ref="T2">SUM(IF(Discs!B2:B282&lt;&gt;D2,0,IF(Discs!K2:K282&lt;&gt;"Scenario",0,1)))</f>
        <v>0</v>
      </c>
      <c r="U2" s="7">
        <f>SUM(P2:T2)</f>
        <v>3</v>
      </c>
      <c r="V2" s="12">
        <v>3</v>
      </c>
      <c r="W2" s="7">
        <v>0</v>
      </c>
      <c r="X2" s="7">
        <v>0</v>
      </c>
      <c r="Z2" s="8"/>
      <c r="AA2" s="8"/>
      <c r="AB2" s="8"/>
      <c r="AC2" s="8"/>
    </row>
    <row r="3" spans="1:30" ht="12" customHeight="1" x14ac:dyDescent="0.15">
      <c r="A3" s="7"/>
      <c r="C3" s="12"/>
      <c r="D3" s="7">
        <v>102</v>
      </c>
      <c r="E3" s="7" t="s">
        <v>10</v>
      </c>
      <c r="F3" s="13"/>
      <c r="G3" s="12" t="s">
        <v>433</v>
      </c>
      <c r="H3" s="7" t="s">
        <v>26</v>
      </c>
      <c r="I3" s="7">
        <v>16</v>
      </c>
      <c r="J3" s="13">
        <v>3</v>
      </c>
      <c r="K3" s="334">
        <v>13</v>
      </c>
      <c r="L3" s="13" t="str">
        <f t="shared" ref="L3:L66" si="1">IF(I3-J3-K3=0,"",I3-J3-K3)</f>
        <v/>
      </c>
      <c r="M3" s="7">
        <v>5</v>
      </c>
      <c r="N3" s="7">
        <f t="shared" si="0"/>
        <v>21</v>
      </c>
      <c r="O3" s="7"/>
      <c r="P3" s="12">
        <f t="array" ref="P3">SUM(IF(Discs!B2:B283&lt;&gt;D3,0,IF(LEFT(Discs!K2:K283,5)&lt;&gt;"Ship-",0,1)))</f>
        <v>1</v>
      </c>
      <c r="Q3" s="12">
        <f t="array" ref="Q3">SUM(IF(Discs!B2:B283&lt;&gt;D3,0,IF(Discs!K2:K283&lt;&gt;"Crew",0,1)))</f>
        <v>1</v>
      </c>
      <c r="R3" s="12">
        <f t="array" ref="R3">SUM(IF(Discs!B2:B283&lt;&gt;D3,0,IF(Discs!K2:K283&lt;&gt;"Upgrade",0,1)))</f>
        <v>1</v>
      </c>
      <c r="S3" s="12">
        <f t="array" ref="S3">SUM(IF(Discs!B2:B283&lt;&gt;D3,0,IF(Discs!K2:K283&lt;&gt;"Personal",0,1)))</f>
        <v>0</v>
      </c>
      <c r="T3" s="7">
        <f t="array" ref="T3">SUM(IF(Discs!B2:B283&lt;&gt;D3,0,IF(Discs!K2:K283&lt;&gt;"Scenario",0,1)))</f>
        <v>0</v>
      </c>
      <c r="U3" s="7">
        <f t="shared" ref="U3:U66" si="2">SUM(P3:T3)</f>
        <v>3</v>
      </c>
      <c r="V3" s="12">
        <v>3</v>
      </c>
      <c r="W3" s="7">
        <v>0</v>
      </c>
      <c r="X3" s="7">
        <v>0</v>
      </c>
      <c r="Z3" s="8"/>
      <c r="AA3" s="8"/>
      <c r="AB3" s="8"/>
      <c r="AC3" s="8"/>
    </row>
    <row r="4" spans="1:30" x14ac:dyDescent="0.15">
      <c r="A4" s="7"/>
      <c r="B4" s="12"/>
      <c r="C4" s="12"/>
      <c r="D4" s="7">
        <v>103</v>
      </c>
      <c r="E4" s="7" t="s">
        <v>10</v>
      </c>
      <c r="F4" s="13"/>
      <c r="G4" s="12" t="s">
        <v>433</v>
      </c>
      <c r="H4" s="7" t="s">
        <v>68</v>
      </c>
      <c r="I4" s="7">
        <v>13</v>
      </c>
      <c r="J4" s="13">
        <v>3</v>
      </c>
      <c r="K4" s="334">
        <v>10</v>
      </c>
      <c r="L4" s="13" t="str">
        <f t="shared" si="1"/>
        <v/>
      </c>
      <c r="M4" s="7">
        <v>1</v>
      </c>
      <c r="N4" s="7">
        <f t="shared" si="0"/>
        <v>14</v>
      </c>
      <c r="O4" s="7"/>
      <c r="P4" s="12">
        <f t="array" ref="P4">SUM(IF(Discs!B2:B284&lt;&gt;D4,0,IF(LEFT(Discs!K2:K284,5)&lt;&gt;"Ship-",0,1)))</f>
        <v>1</v>
      </c>
      <c r="Q4" s="12">
        <f t="array" ref="Q4">SUM(IF(Discs!B2:B284&lt;&gt;D4,0,IF(Discs!K2:K284&lt;&gt;"Crew",0,1)))</f>
        <v>1</v>
      </c>
      <c r="R4" s="12">
        <f t="array" ref="R4">SUM(IF(Discs!B2:B284&lt;&gt;D4,0,IF(Discs!K2:K284&lt;&gt;"Upgrade",0,1)))</f>
        <v>1</v>
      </c>
      <c r="S4" s="12">
        <f t="array" ref="S4">SUM(IF(Discs!B2:B284&lt;&gt;D4,0,IF(Discs!K2:K284&lt;&gt;"Personal",0,1)))</f>
        <v>0</v>
      </c>
      <c r="T4" s="7">
        <f t="array" ref="T4">SUM(IF(Discs!B2:B284&lt;&gt;D4,0,IF(Discs!K2:K284&lt;&gt;"Scenario",0,1)))</f>
        <v>0</v>
      </c>
      <c r="U4" s="7">
        <f t="shared" si="2"/>
        <v>3</v>
      </c>
      <c r="V4" s="12">
        <v>3</v>
      </c>
      <c r="W4" s="7">
        <v>0</v>
      </c>
      <c r="X4" s="7">
        <v>0</v>
      </c>
      <c r="Z4" s="8"/>
      <c r="AA4" s="8"/>
      <c r="AB4" s="8"/>
      <c r="AC4" s="8"/>
    </row>
    <row r="5" spans="1:30" ht="12" customHeight="1" x14ac:dyDescent="0.15">
      <c r="A5" s="7"/>
      <c r="C5" s="12"/>
      <c r="D5" s="7">
        <v>104</v>
      </c>
      <c r="E5" s="7" t="s">
        <v>10</v>
      </c>
      <c r="F5" s="13"/>
      <c r="G5" s="12" t="s">
        <v>433</v>
      </c>
      <c r="H5" s="7" t="s">
        <v>3</v>
      </c>
      <c r="I5" s="7">
        <v>7</v>
      </c>
      <c r="J5" s="13">
        <v>3</v>
      </c>
      <c r="K5" s="334">
        <v>4</v>
      </c>
      <c r="L5" s="13" t="str">
        <f t="shared" si="1"/>
        <v/>
      </c>
      <c r="M5" s="12">
        <v>1</v>
      </c>
      <c r="N5" s="7">
        <f t="shared" si="0"/>
        <v>8</v>
      </c>
      <c r="O5" s="7"/>
      <c r="P5" s="12">
        <f t="array" ref="P5">SUM(IF(Discs!B2:B285&lt;&gt;D5,0,IF(LEFT(Discs!K2:K285,5)&lt;&gt;"Ship-",0,1)))</f>
        <v>1</v>
      </c>
      <c r="Q5" s="12">
        <f t="array" ref="Q5">SUM(IF(Discs!B2:B285&lt;&gt;D5,0,IF(Discs!K2:K285&lt;&gt;"Crew",0,1)))</f>
        <v>1</v>
      </c>
      <c r="R5" s="12">
        <f t="array" ref="R5">SUM(IF(Discs!B2:B285&lt;&gt;D5,0,IF(Discs!K2:K285&lt;&gt;"Upgrade",0,1)))</f>
        <v>1</v>
      </c>
      <c r="S5" s="12">
        <f t="array" ref="S5">SUM(IF(Discs!B2:B285&lt;&gt;D5,0,IF(Discs!K2:K285&lt;&gt;"Personal",0,1)))</f>
        <v>0</v>
      </c>
      <c r="T5" s="7">
        <f t="array" ref="T5">SUM(IF(Discs!B2:B285&lt;&gt;D5,0,IF(Discs!K2:K285&lt;&gt;"Scenario",0,1)))</f>
        <v>0</v>
      </c>
      <c r="U5" s="7">
        <f t="shared" si="2"/>
        <v>3</v>
      </c>
      <c r="V5" s="12">
        <v>3</v>
      </c>
      <c r="W5" s="12">
        <v>0</v>
      </c>
      <c r="X5" s="7">
        <v>0</v>
      </c>
      <c r="Z5" s="8"/>
      <c r="AA5" s="8"/>
      <c r="AB5" s="8"/>
      <c r="AC5" s="8"/>
    </row>
    <row r="6" spans="1:30" ht="12" customHeight="1" x14ac:dyDescent="0.15">
      <c r="A6" s="7"/>
      <c r="B6" s="12"/>
      <c r="C6" s="27"/>
      <c r="D6" s="7">
        <v>105</v>
      </c>
      <c r="E6" s="7" t="s">
        <v>10</v>
      </c>
      <c r="F6" s="13"/>
      <c r="G6" s="12" t="s">
        <v>433</v>
      </c>
      <c r="H6" s="7" t="s">
        <v>68</v>
      </c>
      <c r="I6" s="7">
        <v>13</v>
      </c>
      <c r="J6" s="13">
        <v>3</v>
      </c>
      <c r="K6" s="334">
        <v>10</v>
      </c>
      <c r="L6" s="13" t="str">
        <f t="shared" si="1"/>
        <v/>
      </c>
      <c r="M6" s="12">
        <v>2</v>
      </c>
      <c r="N6" s="7">
        <f t="shared" si="0"/>
        <v>15</v>
      </c>
      <c r="O6" s="7"/>
      <c r="P6" s="12">
        <f t="array" ref="P6">SUM(IF(Discs!B2:B286&lt;&gt;D6,0,IF(LEFT(Discs!K2:K286,5)&lt;&gt;"Ship-",0,1)))</f>
        <v>1</v>
      </c>
      <c r="Q6" s="12">
        <f t="array" ref="Q6">SUM(IF(Discs!B2:B286&lt;&gt;D6,0,IF(Discs!K2:K286&lt;&gt;"Crew",0,1)))</f>
        <v>1</v>
      </c>
      <c r="R6" s="12">
        <f t="array" ref="R6">SUM(IF(Discs!B2:B286&lt;&gt;D6,0,IF(Discs!K2:K286&lt;&gt;"Upgrade",0,1)))</f>
        <v>1</v>
      </c>
      <c r="S6" s="12">
        <f t="array" ref="S6">SUM(IF(Discs!B2:B286&lt;&gt;D6,0,IF(Discs!K2:K286&lt;&gt;"Personal",0,1)))</f>
        <v>0</v>
      </c>
      <c r="T6" s="7">
        <f t="array" ref="T6">SUM(IF(Discs!B2:B286&lt;&gt;D6,0,IF(Discs!K2:K286&lt;&gt;"Scenario",0,1)))</f>
        <v>0</v>
      </c>
      <c r="U6" s="7">
        <f t="shared" si="2"/>
        <v>3</v>
      </c>
      <c r="V6" s="12">
        <v>3</v>
      </c>
      <c r="W6" s="7">
        <v>0</v>
      </c>
      <c r="X6" s="7">
        <v>0</v>
      </c>
      <c r="Y6" s="9"/>
      <c r="Z6" s="8"/>
      <c r="AA6" s="8"/>
      <c r="AB6" s="8"/>
      <c r="AC6" s="8"/>
    </row>
    <row r="7" spans="1:30" ht="12" customHeight="1" x14ac:dyDescent="0.15">
      <c r="A7" s="7"/>
      <c r="B7" s="12"/>
      <c r="C7" s="27"/>
      <c r="D7" s="7">
        <v>106</v>
      </c>
      <c r="E7" s="7" t="s">
        <v>10</v>
      </c>
      <c r="F7" s="13"/>
      <c r="G7" s="12" t="s">
        <v>433</v>
      </c>
      <c r="H7" s="7" t="s">
        <v>30</v>
      </c>
      <c r="I7" s="7">
        <v>24</v>
      </c>
      <c r="J7" s="13">
        <v>3</v>
      </c>
      <c r="K7" s="334">
        <v>21</v>
      </c>
      <c r="L7" s="13" t="str">
        <f t="shared" si="1"/>
        <v/>
      </c>
      <c r="M7" s="12">
        <v>3</v>
      </c>
      <c r="N7" s="7">
        <f t="shared" si="0"/>
        <v>27</v>
      </c>
      <c r="O7" s="7"/>
      <c r="P7" s="12">
        <f t="array" ref="P7">SUM(IF(Discs!B2:B287&lt;&gt;D7,0,IF(LEFT(Discs!K2:K287,5)&lt;&gt;"Ship-",0,1)))</f>
        <v>1</v>
      </c>
      <c r="Q7" s="12">
        <f t="array" ref="Q7">SUM(IF(Discs!B2:B287&lt;&gt;D7,0,IF(Discs!K2:K287&lt;&gt;"Crew",0,1)))</f>
        <v>1</v>
      </c>
      <c r="R7" s="12">
        <f t="array" ref="R7">SUM(IF(Discs!B2:B287&lt;&gt;D7,0,IF(Discs!K2:K287&lt;&gt;"Upgrade",0,1)))</f>
        <v>1</v>
      </c>
      <c r="S7" s="12">
        <f t="array" ref="S7">SUM(IF(Discs!B2:B287&lt;&gt;D7,0,IF(Discs!K2:K287&lt;&gt;"Personal",0,1)))</f>
        <v>0</v>
      </c>
      <c r="T7" s="7">
        <f t="array" ref="T7">SUM(IF(Discs!B2:B287&lt;&gt;D7,0,IF(Discs!K2:K287&lt;&gt;"Scenario",0,1)))</f>
        <v>0</v>
      </c>
      <c r="U7" s="7">
        <f t="shared" si="2"/>
        <v>3</v>
      </c>
      <c r="V7" s="12">
        <v>3</v>
      </c>
      <c r="W7" s="12">
        <v>0</v>
      </c>
      <c r="X7" s="7">
        <v>0</v>
      </c>
      <c r="Z7" s="8"/>
      <c r="AA7" s="8"/>
      <c r="AB7" s="8"/>
      <c r="AC7" s="8"/>
    </row>
    <row r="8" spans="1:30" ht="12" customHeight="1" x14ac:dyDescent="0.15">
      <c r="A8" s="7"/>
      <c r="B8" s="12"/>
      <c r="C8" s="27"/>
      <c r="D8" s="7">
        <v>107</v>
      </c>
      <c r="E8" s="7" t="s">
        <v>10</v>
      </c>
      <c r="F8" s="13" t="s">
        <v>4</v>
      </c>
      <c r="G8" s="12" t="s">
        <v>433</v>
      </c>
      <c r="H8" s="7" t="s">
        <v>68</v>
      </c>
      <c r="I8" s="7">
        <v>15</v>
      </c>
      <c r="J8" s="13">
        <v>3</v>
      </c>
      <c r="K8" s="334">
        <v>12</v>
      </c>
      <c r="L8" s="13" t="str">
        <f t="shared" si="1"/>
        <v/>
      </c>
      <c r="M8" s="12">
        <v>1</v>
      </c>
      <c r="N8" s="7">
        <f t="shared" si="0"/>
        <v>16</v>
      </c>
      <c r="O8" s="7"/>
      <c r="P8" s="12">
        <f t="array" ref="P8">SUM(IF(Discs!B2:B288&lt;&gt;D8,0,IF(LEFT(Discs!K2:K288,5)&lt;&gt;"Ship-",0,1)))</f>
        <v>1</v>
      </c>
      <c r="Q8" s="12">
        <f t="array" ref="Q8">SUM(IF(Discs!B2:B288&lt;&gt;D8,0,IF(Discs!K2:K288&lt;&gt;"Crew",0,1)))</f>
        <v>1</v>
      </c>
      <c r="R8" s="12">
        <f t="array" ref="R8">SUM(IF(Discs!B2:B288&lt;&gt;D8,0,IF(Discs!K2:K288&lt;&gt;"Upgrade",0,1)))</f>
        <v>1</v>
      </c>
      <c r="S8" s="12">
        <f t="array" ref="S8">SUM(IF(Discs!B2:B288&lt;&gt;D8,0,IF(Discs!K2:K288&lt;&gt;"Personal",0,1)))</f>
        <v>0</v>
      </c>
      <c r="T8" s="7">
        <f t="array" ref="T8">SUM(IF(Discs!B2:B288&lt;&gt;D8,0,IF(Discs!K2:K288&lt;&gt;"Scenario",0,1)))</f>
        <v>0</v>
      </c>
      <c r="U8" s="7">
        <f t="shared" si="2"/>
        <v>3</v>
      </c>
      <c r="V8" s="12">
        <v>3</v>
      </c>
      <c r="W8" s="12">
        <v>0</v>
      </c>
      <c r="X8" s="7">
        <v>0</v>
      </c>
      <c r="Z8" s="8"/>
      <c r="AA8" s="8"/>
      <c r="AB8" s="8"/>
      <c r="AC8" s="8"/>
    </row>
    <row r="9" spans="1:30" ht="12" customHeight="1" x14ac:dyDescent="0.15">
      <c r="A9" s="7"/>
      <c r="B9" s="12"/>
      <c r="C9" s="27"/>
      <c r="D9" s="7">
        <v>108</v>
      </c>
      <c r="E9" s="7" t="s">
        <v>10</v>
      </c>
      <c r="F9" s="13"/>
      <c r="G9" s="12" t="s">
        <v>433</v>
      </c>
      <c r="H9" s="7" t="s">
        <v>33</v>
      </c>
      <c r="I9" s="7">
        <v>23</v>
      </c>
      <c r="J9" s="13">
        <v>3</v>
      </c>
      <c r="K9" s="334">
        <v>20</v>
      </c>
      <c r="L9" s="13" t="str">
        <f t="shared" si="1"/>
        <v/>
      </c>
      <c r="M9" s="12">
        <v>6</v>
      </c>
      <c r="N9" s="7">
        <f t="shared" si="0"/>
        <v>29</v>
      </c>
      <c r="O9" s="7"/>
      <c r="P9" s="12">
        <f t="array" ref="P9">SUM(IF(Discs!B3:B289&lt;&gt;D9,0,IF(LEFT(Discs!K3:K289,5)&lt;&gt;"Ship-",0,1)))</f>
        <v>1</v>
      </c>
      <c r="Q9" s="12">
        <f t="array" ref="Q9">SUM(IF(Discs!B3:B289&lt;&gt;D9,0,IF(Discs!K3:K289&lt;&gt;"Crew",0,1)))</f>
        <v>1</v>
      </c>
      <c r="R9" s="12">
        <f t="array" ref="R9">SUM(IF(Discs!B3:B289&lt;&gt;D9,0,IF(Discs!K3:K289&lt;&gt;"Upgrade",0,1)))</f>
        <v>1</v>
      </c>
      <c r="S9" s="12">
        <f t="array" ref="S9">SUM(IF(Discs!B3:B289&lt;&gt;D9,0,IF(Discs!K3:K289&lt;&gt;"Personal",0,1)))</f>
        <v>0</v>
      </c>
      <c r="T9" s="7">
        <f t="array" ref="T9">SUM(IF(Discs!B3:B289&lt;&gt;D9,0,IF(Discs!K3:K289&lt;&gt;"Scenario",0,1)))</f>
        <v>0</v>
      </c>
      <c r="U9" s="7">
        <f t="shared" si="2"/>
        <v>3</v>
      </c>
      <c r="V9" s="12">
        <v>3</v>
      </c>
      <c r="W9" s="12">
        <v>0</v>
      </c>
      <c r="X9" s="7">
        <v>0</v>
      </c>
      <c r="Z9" s="8"/>
      <c r="AA9" s="8"/>
      <c r="AB9" s="8"/>
      <c r="AC9" s="8"/>
    </row>
    <row r="10" spans="1:30" ht="12" customHeight="1" x14ac:dyDescent="0.15">
      <c r="A10" s="7"/>
      <c r="C10" s="12"/>
      <c r="D10" s="7">
        <v>109</v>
      </c>
      <c r="E10" s="7" t="s">
        <v>10</v>
      </c>
      <c r="F10" s="13"/>
      <c r="G10" s="7" t="s">
        <v>22</v>
      </c>
      <c r="H10" s="12" t="s">
        <v>68</v>
      </c>
      <c r="I10" s="7">
        <v>17</v>
      </c>
      <c r="J10" s="13">
        <v>3</v>
      </c>
      <c r="K10" s="334">
        <v>14</v>
      </c>
      <c r="L10" s="13" t="str">
        <f t="shared" si="1"/>
        <v/>
      </c>
      <c r="M10" s="12">
        <v>1</v>
      </c>
      <c r="N10" s="7">
        <f t="shared" si="0"/>
        <v>18</v>
      </c>
      <c r="O10" s="7"/>
      <c r="P10" s="12">
        <f t="array" ref="P10">SUM(IF(Discs!B4:B290&lt;&gt;D10,0,IF(LEFT(Discs!K4:K290,5)&lt;&gt;"Ship-",0,1)))</f>
        <v>0</v>
      </c>
      <c r="Q10" s="12">
        <f t="array" ref="Q10">SUM(IF(Discs!B4:B290&lt;&gt;D10,0,IF(Discs!K4:K290&lt;&gt;"Crew",0,1)))</f>
        <v>0</v>
      </c>
      <c r="R10" s="12">
        <f t="array" ref="R10">SUM(IF(Discs!B4:B290&lt;&gt;D10,0,IF(Discs!K4:K290&lt;&gt;"Upgrade",0,1)))</f>
        <v>0</v>
      </c>
      <c r="S10" s="12">
        <f t="array" ref="S10">SUM(IF(Discs!B4:B290&lt;&gt;D10,0,IF(Discs!K4:K290&lt;&gt;"Personal",0,1)))</f>
        <v>0</v>
      </c>
      <c r="T10" s="7">
        <f t="array" ref="T10">SUM(IF(Discs!B4:B290&lt;&gt;D10,0,IF(Discs!K4:K290&lt;&gt;"Scenario",0,1)))</f>
        <v>1</v>
      </c>
      <c r="U10" s="7">
        <f t="shared" si="2"/>
        <v>1</v>
      </c>
      <c r="V10" s="12">
        <v>0</v>
      </c>
      <c r="W10" s="7">
        <v>2</v>
      </c>
      <c r="X10" s="7">
        <v>0</v>
      </c>
      <c r="Z10" s="12">
        <v>2</v>
      </c>
      <c r="AA10" s="4" t="s">
        <v>253</v>
      </c>
      <c r="AB10" s="4" t="s">
        <v>254</v>
      </c>
      <c r="AC10" s="7">
        <v>160</v>
      </c>
    </row>
    <row r="11" spans="1:30" ht="12" customHeight="1" x14ac:dyDescent="0.15">
      <c r="A11" s="7"/>
      <c r="C11" s="12"/>
      <c r="D11" s="7">
        <v>110</v>
      </c>
      <c r="E11" s="7" t="s">
        <v>10</v>
      </c>
      <c r="F11" s="13"/>
      <c r="G11" s="7" t="s">
        <v>22</v>
      </c>
      <c r="H11" s="12" t="s">
        <v>33</v>
      </c>
      <c r="I11" s="7">
        <v>16</v>
      </c>
      <c r="J11" s="13">
        <v>3</v>
      </c>
      <c r="K11" s="334">
        <v>13</v>
      </c>
      <c r="L11" s="13" t="str">
        <f t="shared" si="1"/>
        <v/>
      </c>
      <c r="M11" s="12">
        <v>1</v>
      </c>
      <c r="N11" s="7">
        <f t="shared" si="0"/>
        <v>17</v>
      </c>
      <c r="O11" s="7"/>
      <c r="P11" s="12">
        <f t="array" ref="P11">SUM(IF(Discs!B5:B291&lt;&gt;D11,0,IF(LEFT(Discs!K5:K291,5)&lt;&gt;"Ship-",0,1)))</f>
        <v>0</v>
      </c>
      <c r="Q11" s="12">
        <f t="array" ref="Q11">SUM(IF(Discs!B5:B291&lt;&gt;D11,0,IF(Discs!K5:K291&lt;&gt;"Crew",0,1)))</f>
        <v>0</v>
      </c>
      <c r="R11" s="12">
        <f t="array" ref="R11">SUM(IF(Discs!B5:B291&lt;&gt;D11,0,IF(Discs!K5:K291&lt;&gt;"Upgrade",0,1)))</f>
        <v>0</v>
      </c>
      <c r="S11" s="12">
        <f t="array" ref="S11">SUM(IF(Discs!B5:B291&lt;&gt;D11,0,IF(Discs!K5:K291&lt;&gt;"Personal",0,1)))</f>
        <v>0</v>
      </c>
      <c r="T11" s="7">
        <f t="array" ref="T11">SUM(IF(Discs!B5:B291&lt;&gt;D11,0,IF(Discs!K5:K291&lt;&gt;"Scenario",0,1)))</f>
        <v>1</v>
      </c>
      <c r="U11" s="7">
        <f t="shared" si="2"/>
        <v>1</v>
      </c>
      <c r="V11" s="12">
        <v>0</v>
      </c>
      <c r="W11" s="7">
        <v>2</v>
      </c>
      <c r="X11" s="7">
        <v>0</v>
      </c>
      <c r="Z11" s="12">
        <v>2</v>
      </c>
      <c r="AA11" s="4" t="s">
        <v>247</v>
      </c>
      <c r="AB11" s="4" t="s">
        <v>256</v>
      </c>
      <c r="AC11" s="7">
        <v>70</v>
      </c>
    </row>
    <row r="12" spans="1:30" ht="12" customHeight="1" x14ac:dyDescent="0.15">
      <c r="A12" s="7"/>
      <c r="B12" s="13"/>
      <c r="D12" s="7">
        <v>111</v>
      </c>
      <c r="E12" s="7" t="s">
        <v>10</v>
      </c>
      <c r="F12" s="13"/>
      <c r="G12" s="7" t="s">
        <v>22</v>
      </c>
      <c r="H12" s="12" t="s">
        <v>577</v>
      </c>
      <c r="I12" s="7">
        <v>23</v>
      </c>
      <c r="J12" s="13">
        <v>3</v>
      </c>
      <c r="K12" s="334">
        <v>20</v>
      </c>
      <c r="L12" s="13" t="str">
        <f t="shared" si="1"/>
        <v/>
      </c>
      <c r="M12" s="12">
        <v>1</v>
      </c>
      <c r="N12" s="7">
        <f t="shared" si="0"/>
        <v>24</v>
      </c>
      <c r="O12" s="7"/>
      <c r="P12" s="12">
        <f t="array" ref="P12">SUM(IF(Discs!B6:B292&lt;&gt;D12,0,IF(LEFT(Discs!K6:K292,5)&lt;&gt;"Ship-",0,1)))</f>
        <v>0</v>
      </c>
      <c r="Q12" s="12">
        <f t="array" ref="Q12">SUM(IF(Discs!B6:B292&lt;&gt;D12,0,IF(Discs!K6:K292&lt;&gt;"Crew",0,1)))</f>
        <v>0</v>
      </c>
      <c r="R12" s="12">
        <f t="array" ref="R12">SUM(IF(Discs!B6:B292&lt;&gt;D12,0,IF(Discs!K6:K292&lt;&gt;"Upgrade",0,1)))</f>
        <v>0</v>
      </c>
      <c r="S12" s="12">
        <f t="array" ref="S12">SUM(IF(Discs!B6:B292&lt;&gt;D12,0,IF(Discs!K6:K292&lt;&gt;"Personal",0,1)))</f>
        <v>0</v>
      </c>
      <c r="T12" s="7">
        <f t="array" ref="T12">SUM(IF(Discs!B6:B292&lt;&gt;D12,0,IF(Discs!K6:K292&lt;&gt;"Scenario",0,1)))</f>
        <v>1</v>
      </c>
      <c r="U12" s="7">
        <f t="shared" si="2"/>
        <v>1</v>
      </c>
      <c r="V12" s="12">
        <v>0</v>
      </c>
      <c r="W12" s="7">
        <v>2</v>
      </c>
      <c r="X12" s="7">
        <v>0</v>
      </c>
      <c r="Z12" s="12">
        <v>2</v>
      </c>
      <c r="AA12" s="4" t="s">
        <v>247</v>
      </c>
      <c r="AB12" s="4" t="s">
        <v>246</v>
      </c>
      <c r="AC12" s="7">
        <v>75</v>
      </c>
    </row>
    <row r="13" spans="1:30" s="312" customFormat="1" ht="12" customHeight="1" thickBot="1" x14ac:dyDescent="0.2">
      <c r="A13" s="310"/>
      <c r="B13" s="310"/>
      <c r="C13" s="311"/>
      <c r="D13" s="310">
        <v>112</v>
      </c>
      <c r="E13" s="310" t="s">
        <v>10</v>
      </c>
      <c r="F13" s="23"/>
      <c r="G13" s="310" t="s">
        <v>22</v>
      </c>
      <c r="H13" s="311" t="s">
        <v>577</v>
      </c>
      <c r="I13" s="310">
        <v>18</v>
      </c>
      <c r="J13" s="23">
        <v>3</v>
      </c>
      <c r="K13" s="335">
        <v>15</v>
      </c>
      <c r="L13" s="23" t="str">
        <f t="shared" si="1"/>
        <v/>
      </c>
      <c r="M13" s="311">
        <v>3</v>
      </c>
      <c r="N13" s="310">
        <f t="shared" si="0"/>
        <v>21</v>
      </c>
      <c r="O13" s="310"/>
      <c r="P13" s="311">
        <f t="array" ref="P13">SUM(IF(Discs!B7:B293&lt;&gt;D13,0,IF(LEFT(Discs!K7:K293,5)&lt;&gt;"Ship-",0,1)))</f>
        <v>0</v>
      </c>
      <c r="Q13" s="311">
        <f t="array" ref="Q13">SUM(IF(Discs!B7:B293&lt;&gt;D13,0,IF(Discs!K7:K293&lt;&gt;"Crew",0,1)))</f>
        <v>0</v>
      </c>
      <c r="R13" s="311">
        <f t="array" ref="R13">SUM(IF(Discs!B7:B293&lt;&gt;D13,0,IF(Discs!K7:K293&lt;&gt;"Upgrade",0,1)))</f>
        <v>0</v>
      </c>
      <c r="S13" s="311">
        <f t="array" ref="S13">SUM(IF(Discs!B7:B293&lt;&gt;D13,0,IF(Discs!K7:K293&lt;&gt;"Personal",0,1)))</f>
        <v>0</v>
      </c>
      <c r="T13" s="310">
        <f t="array" ref="T13">SUM(IF(Discs!B7:B293&lt;&gt;D13,0,IF(Discs!K7:K293&lt;&gt;"Scenario",0,1)))</f>
        <v>1</v>
      </c>
      <c r="U13" s="310">
        <f t="shared" si="2"/>
        <v>1</v>
      </c>
      <c r="V13" s="311">
        <v>0</v>
      </c>
      <c r="W13" s="311">
        <v>1</v>
      </c>
      <c r="X13" s="310">
        <v>1</v>
      </c>
      <c r="Z13" s="311" t="s">
        <v>202</v>
      </c>
      <c r="AA13" s="310" t="s">
        <v>247</v>
      </c>
      <c r="AB13" s="310" t="s">
        <v>246</v>
      </c>
      <c r="AC13" s="311">
        <v>85</v>
      </c>
      <c r="AD13" s="20" t="s">
        <v>445</v>
      </c>
    </row>
    <row r="14" spans="1:30" x14ac:dyDescent="0.15">
      <c r="A14" s="7"/>
      <c r="B14" s="12"/>
      <c r="C14" s="12"/>
      <c r="D14" s="7">
        <v>113</v>
      </c>
      <c r="E14" s="7" t="s">
        <v>10</v>
      </c>
      <c r="F14" s="13"/>
      <c r="G14" s="12" t="s">
        <v>434</v>
      </c>
      <c r="H14" s="7" t="s">
        <v>30</v>
      </c>
      <c r="I14" s="7">
        <v>23</v>
      </c>
      <c r="J14" s="13">
        <v>3</v>
      </c>
      <c r="K14" s="334">
        <v>20</v>
      </c>
      <c r="L14" s="13" t="str">
        <f t="shared" si="1"/>
        <v/>
      </c>
      <c r="M14" s="12">
        <v>2</v>
      </c>
      <c r="N14" s="7">
        <f t="shared" si="0"/>
        <v>25</v>
      </c>
      <c r="O14" s="7"/>
      <c r="P14" s="12">
        <f t="array" ref="P14">SUM(IF(Discs!B8:B294&lt;&gt;D14,0,IF(LEFT(Discs!K8:K294,5)&lt;&gt;"Ship-",0,1)))</f>
        <v>0</v>
      </c>
      <c r="Q14" s="12">
        <f t="array" ref="Q14">SUM(IF(Discs!B8:B294&lt;&gt;D14,0,IF(Discs!K8:K294&lt;&gt;"Crew",0,1)))</f>
        <v>2</v>
      </c>
      <c r="R14" s="12">
        <f t="array" ref="R14">SUM(IF(Discs!B8:B294&lt;&gt;D14,0,IF(Discs!K8:K294&lt;&gt;"Upgrade",0,1)))</f>
        <v>2</v>
      </c>
      <c r="S14" s="12">
        <f t="array" ref="S14">SUM(IF(Discs!B8:B294&lt;&gt;D14,0,IF(Discs!K8:K294&lt;&gt;"Personal",0,1)))</f>
        <v>0</v>
      </c>
      <c r="T14" s="7">
        <f t="array" ref="T14">SUM(IF(Discs!B8:B294&lt;&gt;D14,0,IF(Discs!K8:K294&lt;&gt;"Scenario",0,1)))</f>
        <v>0</v>
      </c>
      <c r="U14" s="7">
        <f t="shared" si="2"/>
        <v>4</v>
      </c>
      <c r="V14" s="12">
        <v>0</v>
      </c>
      <c r="W14" s="12">
        <v>0</v>
      </c>
      <c r="X14" s="12">
        <v>0</v>
      </c>
      <c r="Z14" s="8"/>
      <c r="AA14" s="8"/>
      <c r="AB14" s="8"/>
      <c r="AC14" s="8"/>
    </row>
    <row r="15" spans="1:30" ht="12" customHeight="1" x14ac:dyDescent="0.15">
      <c r="A15" s="7"/>
      <c r="C15" s="12"/>
      <c r="D15" s="7">
        <v>114</v>
      </c>
      <c r="E15" s="7" t="s">
        <v>10</v>
      </c>
      <c r="F15" s="13"/>
      <c r="G15" s="12" t="s">
        <v>434</v>
      </c>
      <c r="H15" s="7" t="s">
        <v>26</v>
      </c>
      <c r="I15" s="7">
        <v>18</v>
      </c>
      <c r="J15" s="13">
        <v>3</v>
      </c>
      <c r="K15" s="334">
        <v>15</v>
      </c>
      <c r="L15" s="13" t="str">
        <f t="shared" si="1"/>
        <v/>
      </c>
      <c r="M15" s="12">
        <v>2</v>
      </c>
      <c r="N15" s="7">
        <f t="shared" si="0"/>
        <v>20</v>
      </c>
      <c r="O15" s="7"/>
      <c r="P15" s="12">
        <f t="array" ref="P15">SUM(IF(Discs!B9:B295&lt;&gt;D15,0,IF(LEFT(Discs!K9:K295,5)&lt;&gt;"Ship-",0,1)))</f>
        <v>0</v>
      </c>
      <c r="Q15" s="12">
        <f t="array" ref="Q15">SUM(IF(Discs!B9:B295&lt;&gt;D15,0,IF(Discs!K9:K295&lt;&gt;"Crew",0,1)))</f>
        <v>2</v>
      </c>
      <c r="R15" s="12">
        <f t="array" ref="R15">SUM(IF(Discs!B9:B295&lt;&gt;D15,0,IF(Discs!K9:K295&lt;&gt;"Upgrade",0,1)))</f>
        <v>2</v>
      </c>
      <c r="S15" s="12">
        <f t="array" ref="S15">SUM(IF(Discs!B9:B295&lt;&gt;D15,0,IF(Discs!K9:K295&lt;&gt;"Personal",0,1)))</f>
        <v>0</v>
      </c>
      <c r="T15" s="7">
        <f t="array" ref="T15">SUM(IF(Discs!B9:B295&lt;&gt;D15,0,IF(Discs!K9:K295&lt;&gt;"Scenario",0,1)))</f>
        <v>0</v>
      </c>
      <c r="U15" s="7">
        <f t="shared" si="2"/>
        <v>4</v>
      </c>
      <c r="V15" s="12">
        <v>0</v>
      </c>
      <c r="W15" s="12">
        <v>0</v>
      </c>
      <c r="X15" s="12">
        <v>0</v>
      </c>
      <c r="Z15" s="8"/>
      <c r="AA15" s="8"/>
      <c r="AB15" s="8"/>
      <c r="AC15" s="8"/>
    </row>
    <row r="16" spans="1:30" ht="12" customHeight="1" x14ac:dyDescent="0.15">
      <c r="A16" s="7"/>
      <c r="C16" s="12"/>
      <c r="D16" s="7">
        <v>115</v>
      </c>
      <c r="E16" s="7" t="s">
        <v>10</v>
      </c>
      <c r="F16" s="13"/>
      <c r="G16" s="12" t="s">
        <v>434</v>
      </c>
      <c r="H16" s="7" t="s">
        <v>68</v>
      </c>
      <c r="I16" s="7">
        <v>13</v>
      </c>
      <c r="J16" s="13">
        <v>3</v>
      </c>
      <c r="K16" s="334">
        <v>10</v>
      </c>
      <c r="L16" s="27" t="str">
        <f t="shared" si="1"/>
        <v/>
      </c>
      <c r="M16" s="12">
        <v>2</v>
      </c>
      <c r="N16" s="7">
        <f t="shared" si="0"/>
        <v>15</v>
      </c>
      <c r="O16" s="7"/>
      <c r="P16" s="12">
        <f t="array" ref="P16">SUM(IF(Discs!B10:B296&lt;&gt;D16,0,IF(LEFT(Discs!K10:K296,5)&lt;&gt;"Ship-",0,1)))</f>
        <v>0</v>
      </c>
      <c r="Q16" s="12">
        <f t="array" ref="Q16">SUM(IF(Discs!B10:B296&lt;&gt;D16,0,IF(Discs!K10:K296&lt;&gt;"Crew",0,1)))</f>
        <v>2</v>
      </c>
      <c r="R16" s="12">
        <f t="array" ref="R16">SUM(IF(Discs!B10:B296&lt;&gt;D16,0,IF(Discs!K10:K296&lt;&gt;"Upgrade",0,1)))</f>
        <v>2</v>
      </c>
      <c r="S16" s="12">
        <f t="array" ref="S16">SUM(IF(Discs!B10:B296&lt;&gt;D16,0,IF(Discs!K10:K296&lt;&gt;"Personal",0,1)))</f>
        <v>0</v>
      </c>
      <c r="T16" s="7">
        <f t="array" ref="T16">SUM(IF(Discs!B10:B296&lt;&gt;D16,0,IF(Discs!K10:K296&lt;&gt;"Scenario",0,1)))</f>
        <v>0</v>
      </c>
      <c r="U16" s="7">
        <f t="shared" si="2"/>
        <v>4</v>
      </c>
      <c r="V16" s="12">
        <v>0</v>
      </c>
      <c r="W16" s="12">
        <v>0</v>
      </c>
      <c r="X16" s="12">
        <v>0</v>
      </c>
      <c r="Z16" s="8"/>
      <c r="AA16" s="8"/>
      <c r="AB16" s="8"/>
      <c r="AC16" s="8"/>
    </row>
    <row r="17" spans="1:35" ht="12" customHeight="1" x14ac:dyDescent="0.15">
      <c r="A17" s="7"/>
      <c r="C17" s="12"/>
      <c r="D17" s="7">
        <v>116</v>
      </c>
      <c r="E17" s="7" t="s">
        <v>10</v>
      </c>
      <c r="F17" s="13"/>
      <c r="G17" s="12" t="s">
        <v>434</v>
      </c>
      <c r="H17" s="7" t="s">
        <v>33</v>
      </c>
      <c r="I17" s="7">
        <v>15</v>
      </c>
      <c r="J17" s="13">
        <v>3</v>
      </c>
      <c r="K17" s="334">
        <v>12</v>
      </c>
      <c r="L17" s="13" t="str">
        <f t="shared" si="1"/>
        <v/>
      </c>
      <c r="M17" s="12">
        <v>6</v>
      </c>
      <c r="N17" s="7">
        <f t="shared" si="0"/>
        <v>21</v>
      </c>
      <c r="O17" s="7"/>
      <c r="P17" s="12">
        <f t="array" ref="P17">SUM(IF(Discs!B11:B297&lt;&gt;D17,0,IF(LEFT(Discs!K11:K297,5)&lt;&gt;"Ship-",0,1)))</f>
        <v>0</v>
      </c>
      <c r="Q17" s="12">
        <f t="array" ref="Q17">SUM(IF(Discs!B11:B297&lt;&gt;D17,0,IF(Discs!K11:K297&lt;&gt;"Crew",0,1)))</f>
        <v>3</v>
      </c>
      <c r="R17" s="12">
        <f t="array" ref="R17">SUM(IF(Discs!B11:B297&lt;&gt;D17,0,IF(Discs!K11:K297&lt;&gt;"Upgrade",0,1)))</f>
        <v>1</v>
      </c>
      <c r="S17" s="12">
        <f t="array" ref="S17">SUM(IF(Discs!B11:B297&lt;&gt;D17,0,IF(Discs!K11:K297&lt;&gt;"Personal",0,1)))</f>
        <v>0</v>
      </c>
      <c r="T17" s="7">
        <f t="array" ref="T17">SUM(IF(Discs!B11:B297&lt;&gt;D17,0,IF(Discs!K11:K297&lt;&gt;"Scenario",0,1)))</f>
        <v>0</v>
      </c>
      <c r="U17" s="7">
        <f t="shared" si="2"/>
        <v>4</v>
      </c>
      <c r="V17" s="12">
        <v>0</v>
      </c>
      <c r="W17" s="12">
        <v>0</v>
      </c>
      <c r="X17" s="12">
        <v>0</v>
      </c>
      <c r="Z17" s="8"/>
      <c r="AA17" s="8"/>
      <c r="AB17" s="8"/>
      <c r="AC17" s="8"/>
    </row>
    <row r="18" spans="1:35" s="10" customFormat="1" ht="12" customHeight="1" x14ac:dyDescent="0.15">
      <c r="A18" s="7"/>
      <c r="B18" s="12"/>
      <c r="C18" s="12"/>
      <c r="D18" s="7">
        <v>117</v>
      </c>
      <c r="E18" s="7" t="s">
        <v>10</v>
      </c>
      <c r="F18" s="13"/>
      <c r="G18" s="12" t="s">
        <v>434</v>
      </c>
      <c r="H18" s="7" t="s">
        <v>30</v>
      </c>
      <c r="I18" s="7">
        <v>17</v>
      </c>
      <c r="J18" s="13">
        <v>3</v>
      </c>
      <c r="K18" s="334">
        <v>14</v>
      </c>
      <c r="L18" s="13" t="str">
        <f t="shared" si="1"/>
        <v/>
      </c>
      <c r="M18" s="12">
        <v>4</v>
      </c>
      <c r="N18" s="7">
        <f t="shared" si="0"/>
        <v>21</v>
      </c>
      <c r="O18" s="7"/>
      <c r="P18" s="12">
        <f t="array" ref="P18">SUM(IF(Discs!B12:B298&lt;&gt;D18,0,IF(LEFT(Discs!K12:K298,5)&lt;&gt;"Ship-",0,1)))</f>
        <v>0</v>
      </c>
      <c r="Q18" s="12">
        <f t="array" ref="Q18">SUM(IF(Discs!B12:B298&lt;&gt;D18,0,IF(Discs!K12:K298&lt;&gt;"Crew",0,1)))</f>
        <v>3</v>
      </c>
      <c r="R18" s="12">
        <f t="array" ref="R18">SUM(IF(Discs!B12:B298&lt;&gt;D18,0,IF(Discs!K12:K298&lt;&gt;"Upgrade",0,1)))</f>
        <v>1</v>
      </c>
      <c r="S18" s="12">
        <f t="array" ref="S18">SUM(IF(Discs!B12:B298&lt;&gt;D18,0,IF(Discs!K12:K298&lt;&gt;"Personal",0,1)))</f>
        <v>0</v>
      </c>
      <c r="T18" s="7">
        <f t="array" ref="T18">SUM(IF(Discs!B12:B298&lt;&gt;D18,0,IF(Discs!K12:K298&lt;&gt;"Scenario",0,1)))</f>
        <v>0</v>
      </c>
      <c r="U18" s="7">
        <f t="shared" si="2"/>
        <v>4</v>
      </c>
      <c r="V18" s="12">
        <v>0</v>
      </c>
      <c r="W18" s="12">
        <v>0</v>
      </c>
      <c r="X18" s="12">
        <v>0</v>
      </c>
      <c r="Y18" s="8"/>
      <c r="Z18" s="8"/>
      <c r="AA18" s="8"/>
      <c r="AB18" s="8"/>
      <c r="AC18" s="8"/>
      <c r="AD18" s="8"/>
      <c r="AE18" s="8"/>
      <c r="AF18" s="8"/>
      <c r="AG18" s="8"/>
      <c r="AH18" s="8"/>
      <c r="AI18" s="8"/>
    </row>
    <row r="19" spans="1:35" s="10" customFormat="1" ht="12" customHeight="1" x14ac:dyDescent="0.15">
      <c r="A19" s="7"/>
      <c r="B19" s="7"/>
      <c r="C19" s="12"/>
      <c r="D19" s="7">
        <v>118</v>
      </c>
      <c r="E19" s="7" t="s">
        <v>10</v>
      </c>
      <c r="F19" s="13"/>
      <c r="G19" s="12" t="s">
        <v>434</v>
      </c>
      <c r="H19" s="7" t="s">
        <v>26</v>
      </c>
      <c r="I19" s="7">
        <v>10</v>
      </c>
      <c r="J19" s="13">
        <v>3</v>
      </c>
      <c r="K19" s="334">
        <v>7</v>
      </c>
      <c r="L19" s="13" t="str">
        <f t="shared" si="1"/>
        <v/>
      </c>
      <c r="M19" s="12">
        <v>5</v>
      </c>
      <c r="N19" s="7">
        <f t="shared" si="0"/>
        <v>15</v>
      </c>
      <c r="O19" s="7"/>
      <c r="P19" s="12">
        <f t="array" ref="P19">SUM(IF(Discs!B13:B299&lt;&gt;D19,0,IF(LEFT(Discs!K13:K299,5)&lt;&gt;"Ship-",0,1)))</f>
        <v>0</v>
      </c>
      <c r="Q19" s="12">
        <f t="array" ref="Q19">SUM(IF(Discs!B13:B299&lt;&gt;D19,0,IF(Discs!K13:K299&lt;&gt;"Crew",0,1)))</f>
        <v>3</v>
      </c>
      <c r="R19" s="12">
        <f t="array" ref="R19">SUM(IF(Discs!B13:B299&lt;&gt;D19,0,IF(Discs!K13:K299&lt;&gt;"Upgrade",0,1)))</f>
        <v>1</v>
      </c>
      <c r="S19" s="12">
        <f t="array" ref="S19">SUM(IF(Discs!B13:B299&lt;&gt;D19,0,IF(Discs!K13:K299&lt;&gt;"Personal",0,1)))</f>
        <v>0</v>
      </c>
      <c r="T19" s="7">
        <f t="array" ref="T19">SUM(IF(Discs!B13:B299&lt;&gt;D19,0,IF(Discs!K13:K299&lt;&gt;"Scenario",0,1)))</f>
        <v>0</v>
      </c>
      <c r="U19" s="7">
        <f t="shared" si="2"/>
        <v>4</v>
      </c>
      <c r="V19" s="12">
        <v>0</v>
      </c>
      <c r="W19" s="12">
        <v>0</v>
      </c>
      <c r="X19" s="12">
        <v>0</v>
      </c>
      <c r="Y19" s="8"/>
      <c r="Z19" s="8"/>
      <c r="AA19" s="8"/>
      <c r="AB19" s="8"/>
      <c r="AC19" s="8"/>
      <c r="AD19" s="8"/>
      <c r="AE19" s="8"/>
      <c r="AF19" s="8"/>
      <c r="AG19" s="8"/>
      <c r="AH19" s="8"/>
      <c r="AI19" s="8"/>
    </row>
    <row r="20" spans="1:35" s="10" customFormat="1" ht="12" customHeight="1" x14ac:dyDescent="0.15">
      <c r="A20" s="7"/>
      <c r="B20" s="12"/>
      <c r="C20" s="12"/>
      <c r="D20" s="7">
        <v>119</v>
      </c>
      <c r="E20" s="7" t="s">
        <v>10</v>
      </c>
      <c r="F20" s="13"/>
      <c r="G20" s="12" t="s">
        <v>434</v>
      </c>
      <c r="H20" s="7" t="s">
        <v>68</v>
      </c>
      <c r="I20" s="7">
        <v>11</v>
      </c>
      <c r="J20" s="13">
        <v>3</v>
      </c>
      <c r="K20" s="334">
        <v>8</v>
      </c>
      <c r="L20" s="13" t="str">
        <f t="shared" si="1"/>
        <v/>
      </c>
      <c r="M20" s="12">
        <v>4</v>
      </c>
      <c r="N20" s="7">
        <f t="shared" si="0"/>
        <v>15</v>
      </c>
      <c r="O20" s="7"/>
      <c r="P20" s="12">
        <f t="array" ref="P20">SUM(IF(Discs!B14:B300&lt;&gt;D20,0,IF(LEFT(Discs!K14:K300,5)&lt;&gt;"Ship-",0,1)))</f>
        <v>0</v>
      </c>
      <c r="Q20" s="12">
        <f t="array" ref="Q20">SUM(IF(Discs!B14:B300&lt;&gt;D20,0,IF(Discs!K14:K300&lt;&gt;"Crew",0,1)))</f>
        <v>3</v>
      </c>
      <c r="R20" s="12">
        <f t="array" ref="R20">SUM(IF(Discs!B14:B300&lt;&gt;D20,0,IF(Discs!K14:K300&lt;&gt;"Upgrade",0,1)))</f>
        <v>1</v>
      </c>
      <c r="S20" s="12">
        <f t="array" ref="S20">SUM(IF(Discs!B14:B300&lt;&gt;D20,0,IF(Discs!K14:K300&lt;&gt;"Personal",0,1)))</f>
        <v>0</v>
      </c>
      <c r="T20" s="7">
        <f t="array" ref="T20">SUM(IF(Discs!B14:B300&lt;&gt;D20,0,IF(Discs!K14:K300&lt;&gt;"Scenario",0,1)))</f>
        <v>0</v>
      </c>
      <c r="U20" s="7">
        <f t="shared" si="2"/>
        <v>4</v>
      </c>
      <c r="V20" s="12">
        <v>0</v>
      </c>
      <c r="W20" s="12">
        <v>0</v>
      </c>
      <c r="X20" s="12">
        <v>0</v>
      </c>
      <c r="Y20" s="8"/>
      <c r="Z20" s="8"/>
      <c r="AA20" s="8"/>
      <c r="AB20" s="8"/>
      <c r="AC20" s="8"/>
      <c r="AD20" s="8"/>
      <c r="AE20" s="8"/>
      <c r="AF20" s="8"/>
      <c r="AG20" s="8"/>
      <c r="AH20" s="8"/>
      <c r="AI20" s="8"/>
    </row>
    <row r="21" spans="1:35" s="10" customFormat="1" ht="12" customHeight="1" x14ac:dyDescent="0.15">
      <c r="A21" s="7"/>
      <c r="B21" s="12"/>
      <c r="C21" s="12"/>
      <c r="D21" s="7">
        <v>120</v>
      </c>
      <c r="E21" s="7" t="s">
        <v>10</v>
      </c>
      <c r="F21" s="13"/>
      <c r="G21" s="13" t="s">
        <v>434</v>
      </c>
      <c r="H21" s="7" t="s">
        <v>3</v>
      </c>
      <c r="I21" s="7">
        <v>6</v>
      </c>
      <c r="J21" s="13">
        <v>3</v>
      </c>
      <c r="K21" s="334">
        <v>3</v>
      </c>
      <c r="L21" s="13" t="str">
        <f t="shared" si="1"/>
        <v/>
      </c>
      <c r="M21" s="12">
        <v>4</v>
      </c>
      <c r="N21" s="7">
        <f t="shared" si="0"/>
        <v>10</v>
      </c>
      <c r="O21" s="7"/>
      <c r="P21" s="12">
        <f t="array" ref="P21">SUM(IF(Discs!B15:B301&lt;&gt;D21,0,IF(LEFT(Discs!K15:K301,5)&lt;&gt;"Ship-",0,1)))</f>
        <v>0</v>
      </c>
      <c r="Q21" s="12">
        <f t="array" ref="Q21">SUM(IF(Discs!B15:B301&lt;&gt;D21,0,IF(Discs!K15:K301&lt;&gt;"Crew",0,1)))</f>
        <v>3</v>
      </c>
      <c r="R21" s="12">
        <f t="array" ref="R21">SUM(IF(Discs!B15:B301&lt;&gt;D21,0,IF(Discs!K15:K301&lt;&gt;"Upgrade",0,1)))</f>
        <v>1</v>
      </c>
      <c r="S21" s="12">
        <f t="array" ref="S21">SUM(IF(Discs!B15:B301&lt;&gt;D21,0,IF(Discs!K15:K301&lt;&gt;"Personal",0,1)))</f>
        <v>0</v>
      </c>
      <c r="T21" s="7">
        <f t="array" ref="T21">SUM(IF(Discs!B15:B301&lt;&gt;D21,0,IF(Discs!K15:K301&lt;&gt;"Scenario",0,1)))</f>
        <v>0</v>
      </c>
      <c r="U21" s="7">
        <f t="shared" si="2"/>
        <v>4</v>
      </c>
      <c r="V21" s="12">
        <v>0</v>
      </c>
      <c r="W21" s="12">
        <v>0</v>
      </c>
      <c r="X21" s="12">
        <v>0</v>
      </c>
      <c r="Y21" s="8"/>
      <c r="Z21" s="8"/>
      <c r="AA21" s="8"/>
      <c r="AB21" s="8"/>
      <c r="AC21" s="8"/>
      <c r="AD21" s="8"/>
      <c r="AE21" s="8"/>
      <c r="AF21" s="8"/>
      <c r="AG21" s="8"/>
      <c r="AH21" s="8"/>
      <c r="AI21" s="8"/>
    </row>
    <row r="22" spans="1:35" s="10" customFormat="1" ht="12" customHeight="1" x14ac:dyDescent="0.15">
      <c r="A22" s="7"/>
      <c r="B22" s="7"/>
      <c r="C22" s="12"/>
      <c r="D22" s="7">
        <v>121</v>
      </c>
      <c r="E22" s="7" t="s">
        <v>4</v>
      </c>
      <c r="F22" s="13"/>
      <c r="G22" s="12" t="s">
        <v>433</v>
      </c>
      <c r="H22" s="7" t="s">
        <v>30</v>
      </c>
      <c r="I22" s="7">
        <v>5</v>
      </c>
      <c r="J22" s="13">
        <v>3</v>
      </c>
      <c r="K22" s="334">
        <v>2</v>
      </c>
      <c r="L22" s="13" t="str">
        <f t="shared" si="1"/>
        <v/>
      </c>
      <c r="M22" s="12">
        <v>1</v>
      </c>
      <c r="N22" s="7">
        <f t="shared" si="0"/>
        <v>6</v>
      </c>
      <c r="O22" s="7"/>
      <c r="P22" s="12">
        <f t="array" ref="P22">SUM(IF(Discs!B16:B302&lt;&gt;D22,0,IF(LEFT(Discs!K16:K302,5)&lt;&gt;"Ship-",0,1)))</f>
        <v>1</v>
      </c>
      <c r="Q22" s="12">
        <f t="array" ref="Q22">SUM(IF(Discs!B16:B302&lt;&gt;D22,0,IF(Discs!K16:K302&lt;&gt;"Crew",0,1)))</f>
        <v>1</v>
      </c>
      <c r="R22" s="12">
        <f t="array" ref="R22">SUM(IF(Discs!B16:B302&lt;&gt;D22,0,IF(Discs!K16:K302&lt;&gt;"Upgrade",0,1)))</f>
        <v>1</v>
      </c>
      <c r="S22" s="12">
        <f t="array" ref="S22">SUM(IF(Discs!B16:B302&lt;&gt;D22,0,IF(Discs!K16:K302&lt;&gt;"Personal",0,1)))</f>
        <v>0</v>
      </c>
      <c r="T22" s="7">
        <f t="array" ref="T22">SUM(IF(Discs!B16:B302&lt;&gt;D22,0,IF(Discs!K16:K302&lt;&gt;"Scenario",0,1)))</f>
        <v>0</v>
      </c>
      <c r="U22" s="7">
        <f t="shared" si="2"/>
        <v>3</v>
      </c>
      <c r="V22" s="12">
        <v>3</v>
      </c>
      <c r="W22" s="12">
        <v>0</v>
      </c>
      <c r="X22" s="12">
        <v>0</v>
      </c>
      <c r="Y22" s="8"/>
      <c r="Z22" s="8"/>
      <c r="AA22" s="8"/>
      <c r="AB22" s="8"/>
      <c r="AC22" s="8"/>
      <c r="AD22" s="8"/>
      <c r="AE22" s="8"/>
      <c r="AF22" s="8"/>
      <c r="AG22" s="8"/>
      <c r="AH22" s="8"/>
      <c r="AI22" s="8"/>
    </row>
    <row r="23" spans="1:35" s="10" customFormat="1" x14ac:dyDescent="0.15">
      <c r="A23" s="7"/>
      <c r="B23" s="13"/>
      <c r="C23" s="7"/>
      <c r="D23" s="7">
        <v>122</v>
      </c>
      <c r="E23" s="7" t="s">
        <v>4</v>
      </c>
      <c r="F23" s="13"/>
      <c r="G23" s="12" t="s">
        <v>433</v>
      </c>
      <c r="H23" s="7" t="s">
        <v>26</v>
      </c>
      <c r="I23" s="7">
        <v>9</v>
      </c>
      <c r="J23" s="13">
        <v>3</v>
      </c>
      <c r="K23" s="334">
        <v>6</v>
      </c>
      <c r="L23" s="13" t="str">
        <f t="shared" si="1"/>
        <v/>
      </c>
      <c r="M23" s="12">
        <v>5</v>
      </c>
      <c r="N23" s="7">
        <f t="shared" si="0"/>
        <v>14</v>
      </c>
      <c r="O23" s="7"/>
      <c r="P23" s="12">
        <f t="array" ref="P23">SUM(IF(Discs!B17:B303&lt;&gt;D23,0,IF(LEFT(Discs!K17:K303,5)&lt;&gt;"Ship-",0,1)))</f>
        <v>1</v>
      </c>
      <c r="Q23" s="12">
        <f t="array" ref="Q23">SUM(IF(Discs!B17:B303&lt;&gt;D23,0,IF(Discs!K17:K303&lt;&gt;"Crew",0,1)))</f>
        <v>1</v>
      </c>
      <c r="R23" s="12">
        <f t="array" ref="R23">SUM(IF(Discs!B17:B303&lt;&gt;D23,0,IF(Discs!K17:K303&lt;&gt;"Upgrade",0,1)))</f>
        <v>1</v>
      </c>
      <c r="S23" s="12">
        <f t="array" ref="S23">SUM(IF(Discs!B17:B303&lt;&gt;D23,0,IF(Discs!K17:K303&lt;&gt;"Personal",0,1)))</f>
        <v>0</v>
      </c>
      <c r="T23" s="7">
        <f t="array" ref="T23">SUM(IF(Discs!B17:B303&lt;&gt;D23,0,IF(Discs!K17:K303&lt;&gt;"Scenario",0,1)))</f>
        <v>0</v>
      </c>
      <c r="U23" s="7">
        <f t="shared" si="2"/>
        <v>3</v>
      </c>
      <c r="V23" s="12">
        <v>3</v>
      </c>
      <c r="W23" s="12">
        <v>0</v>
      </c>
      <c r="X23" s="12">
        <v>0</v>
      </c>
      <c r="Y23" s="8"/>
      <c r="Z23" s="8"/>
      <c r="AA23" s="8"/>
      <c r="AB23" s="8"/>
      <c r="AC23" s="8"/>
      <c r="AD23" s="8"/>
      <c r="AE23" s="8"/>
      <c r="AF23" s="8"/>
      <c r="AG23" s="8"/>
      <c r="AH23" s="8"/>
      <c r="AI23" s="8"/>
    </row>
    <row r="24" spans="1:35" s="10" customFormat="1" ht="12" customHeight="1" x14ac:dyDescent="0.15">
      <c r="A24" s="7"/>
      <c r="B24" s="7"/>
      <c r="C24" s="7"/>
      <c r="D24" s="7">
        <v>123</v>
      </c>
      <c r="E24" s="7" t="s">
        <v>4</v>
      </c>
      <c r="F24" s="13"/>
      <c r="G24" s="12" t="s">
        <v>433</v>
      </c>
      <c r="H24" s="7" t="s">
        <v>68</v>
      </c>
      <c r="I24" s="7">
        <v>7</v>
      </c>
      <c r="J24" s="13">
        <v>3</v>
      </c>
      <c r="K24" s="334">
        <v>4</v>
      </c>
      <c r="L24" s="13" t="str">
        <f t="shared" si="1"/>
        <v/>
      </c>
      <c r="M24" s="12">
        <v>3</v>
      </c>
      <c r="N24" s="7">
        <f t="shared" si="0"/>
        <v>10</v>
      </c>
      <c r="O24" s="7"/>
      <c r="P24" s="12">
        <f t="array" ref="P24">SUM(IF(Discs!B18:B304&lt;&gt;D24,0,IF(LEFT(Discs!K18:K304,5)&lt;&gt;"Ship-",0,1)))</f>
        <v>1</v>
      </c>
      <c r="Q24" s="12">
        <f t="array" ref="Q24">SUM(IF(Discs!B18:B304&lt;&gt;D24,0,IF(Discs!K18:K304&lt;&gt;"Crew",0,1)))</f>
        <v>1</v>
      </c>
      <c r="R24" s="12">
        <f t="array" ref="R24">SUM(IF(Discs!B18:B304&lt;&gt;D24,0,IF(Discs!K18:K304&lt;&gt;"Upgrade",0,1)))</f>
        <v>1</v>
      </c>
      <c r="S24" s="12">
        <f t="array" ref="S24">SUM(IF(Discs!B18:B304&lt;&gt;D24,0,IF(Discs!K18:K304&lt;&gt;"Personal",0,1)))</f>
        <v>0</v>
      </c>
      <c r="T24" s="7">
        <f t="array" ref="T24">SUM(IF(Discs!B18:B304&lt;&gt;D24,0,IF(Discs!K18:K304&lt;&gt;"Scenario",0,1)))</f>
        <v>0</v>
      </c>
      <c r="U24" s="7">
        <f t="shared" si="2"/>
        <v>3</v>
      </c>
      <c r="V24" s="12">
        <v>3</v>
      </c>
      <c r="W24" s="12">
        <v>0</v>
      </c>
      <c r="X24" s="12">
        <v>0</v>
      </c>
      <c r="Y24" s="8"/>
      <c r="Z24" s="8"/>
      <c r="AA24" s="8"/>
      <c r="AB24" s="8"/>
      <c r="AC24" s="8"/>
      <c r="AD24" s="8"/>
      <c r="AE24" s="8"/>
      <c r="AF24" s="8"/>
      <c r="AG24" s="8"/>
      <c r="AH24" s="8"/>
      <c r="AI24" s="8"/>
    </row>
    <row r="25" spans="1:35" s="10" customFormat="1" x14ac:dyDescent="0.15">
      <c r="A25" s="7"/>
      <c r="B25" s="12"/>
      <c r="C25" s="7"/>
      <c r="D25" s="7">
        <v>124</v>
      </c>
      <c r="E25" s="7" t="s">
        <v>4</v>
      </c>
      <c r="F25" s="13"/>
      <c r="G25" s="12" t="s">
        <v>433</v>
      </c>
      <c r="H25" s="7" t="s">
        <v>3</v>
      </c>
      <c r="I25" s="7">
        <v>3</v>
      </c>
      <c r="J25" s="13">
        <v>3</v>
      </c>
      <c r="K25" s="334">
        <v>0</v>
      </c>
      <c r="L25" s="13" t="str">
        <f t="shared" si="1"/>
        <v/>
      </c>
      <c r="M25" s="12">
        <v>2</v>
      </c>
      <c r="N25" s="7">
        <f t="shared" si="0"/>
        <v>5</v>
      </c>
      <c r="O25" s="7"/>
      <c r="P25" s="12">
        <f t="array" ref="P25">SUM(IF(Discs!B19:B305&lt;&gt;D25,0,IF(LEFT(Discs!K19:K305,5)&lt;&gt;"Ship-",0,1)))</f>
        <v>1</v>
      </c>
      <c r="Q25" s="12">
        <f t="array" ref="Q25">SUM(IF(Discs!B19:B305&lt;&gt;D25,0,IF(Discs!K19:K305&lt;&gt;"Crew",0,1)))</f>
        <v>1</v>
      </c>
      <c r="R25" s="12">
        <f t="array" ref="R25">SUM(IF(Discs!B19:B305&lt;&gt;D25,0,IF(Discs!K19:K305&lt;&gt;"Upgrade",0,1)))</f>
        <v>1</v>
      </c>
      <c r="S25" s="12">
        <f t="array" ref="S25">SUM(IF(Discs!B19:B305&lt;&gt;D25,0,IF(Discs!K19:K305&lt;&gt;"Personal",0,1)))</f>
        <v>0</v>
      </c>
      <c r="T25" s="7">
        <f t="array" ref="T25">SUM(IF(Discs!B19:B305&lt;&gt;D25,0,IF(Discs!K19:K305&lt;&gt;"Scenario",0,1)))</f>
        <v>0</v>
      </c>
      <c r="U25" s="7">
        <f t="shared" si="2"/>
        <v>3</v>
      </c>
      <c r="V25" s="12">
        <v>3</v>
      </c>
      <c r="W25" s="12">
        <v>0</v>
      </c>
      <c r="X25" s="7">
        <v>0</v>
      </c>
      <c r="Y25" s="8"/>
      <c r="Z25" s="8"/>
      <c r="AA25" s="8"/>
      <c r="AB25" s="8"/>
      <c r="AC25" s="8"/>
      <c r="AD25" s="8"/>
      <c r="AE25" s="8"/>
      <c r="AF25" s="8"/>
      <c r="AG25" s="8"/>
      <c r="AH25" s="8"/>
      <c r="AI25" s="8"/>
    </row>
    <row r="26" spans="1:35" s="10" customFormat="1" ht="12" customHeight="1" x14ac:dyDescent="0.15">
      <c r="A26" s="7"/>
      <c r="B26" s="7"/>
      <c r="C26" s="12"/>
      <c r="D26" s="7">
        <v>125</v>
      </c>
      <c r="E26" s="7" t="s">
        <v>4</v>
      </c>
      <c r="F26" s="13"/>
      <c r="G26" s="12" t="s">
        <v>433</v>
      </c>
      <c r="H26" s="7" t="s">
        <v>26</v>
      </c>
      <c r="I26" s="7">
        <v>15</v>
      </c>
      <c r="J26" s="13">
        <v>3</v>
      </c>
      <c r="K26" s="334">
        <v>12</v>
      </c>
      <c r="L26" s="13" t="str">
        <f t="shared" si="1"/>
        <v/>
      </c>
      <c r="M26" s="12">
        <v>2</v>
      </c>
      <c r="N26" s="7">
        <f t="shared" si="0"/>
        <v>17</v>
      </c>
      <c r="O26" s="7"/>
      <c r="P26" s="12">
        <f t="array" ref="P26">SUM(IF(Discs!B20:B306&lt;&gt;D26,0,IF(LEFT(Discs!K20:K306,5)&lt;&gt;"Ship-",0,1)))</f>
        <v>1</v>
      </c>
      <c r="Q26" s="12">
        <f t="array" ref="Q26">SUM(IF(Discs!B20:B306&lt;&gt;D26,0,IF(Discs!K20:K306&lt;&gt;"Crew",0,1)))</f>
        <v>0</v>
      </c>
      <c r="R26" s="12">
        <f t="array" ref="R26">SUM(IF(Discs!B20:B306&lt;&gt;D26,0,IF(Discs!K20:K306&lt;&gt;"Upgrade",0,1)))</f>
        <v>0</v>
      </c>
      <c r="S26" s="12">
        <f t="array" ref="S26">SUM(IF(Discs!B20:B306&lt;&gt;D26,0,IF(Discs!K20:K306&lt;&gt;"Personal",0,1)))</f>
        <v>0</v>
      </c>
      <c r="T26" s="7">
        <f t="array" ref="T26">SUM(IF(Discs!B20:B306&lt;&gt;D26,0,IF(Discs!K20:K306&lt;&gt;"Scenario",0,1)))</f>
        <v>0</v>
      </c>
      <c r="U26" s="7">
        <f t="shared" si="2"/>
        <v>1</v>
      </c>
      <c r="V26" s="12">
        <v>4</v>
      </c>
      <c r="W26" s="7">
        <v>0</v>
      </c>
      <c r="X26" s="7">
        <v>0</v>
      </c>
      <c r="Y26" s="8"/>
      <c r="Z26" s="8"/>
      <c r="AA26" s="8"/>
      <c r="AB26" s="8"/>
      <c r="AC26" s="8"/>
      <c r="AD26" s="8"/>
      <c r="AE26" s="8"/>
      <c r="AF26" s="8"/>
      <c r="AG26" s="8"/>
      <c r="AH26" s="8"/>
      <c r="AI26" s="8"/>
    </row>
    <row r="27" spans="1:35" ht="12" customHeight="1" x14ac:dyDescent="0.15">
      <c r="A27" s="7"/>
      <c r="D27" s="7">
        <v>126</v>
      </c>
      <c r="E27" s="7" t="s">
        <v>4</v>
      </c>
      <c r="F27" s="13"/>
      <c r="G27" s="12" t="s">
        <v>433</v>
      </c>
      <c r="H27" s="7" t="s">
        <v>3</v>
      </c>
      <c r="I27" s="7">
        <v>5</v>
      </c>
      <c r="J27" s="13">
        <v>3</v>
      </c>
      <c r="K27" s="336">
        <v>2</v>
      </c>
      <c r="L27" s="13" t="str">
        <f t="shared" si="1"/>
        <v/>
      </c>
      <c r="M27" s="12">
        <v>1</v>
      </c>
      <c r="N27" s="7">
        <f t="shared" si="0"/>
        <v>6</v>
      </c>
      <c r="O27" s="7"/>
      <c r="P27" s="12">
        <f t="array" ref="P27">SUM(IF(Discs!B21:B307&lt;&gt;D27,0,IF(LEFT(Discs!K21:K307,5)&lt;&gt;"Ship-",0,1)))</f>
        <v>1</v>
      </c>
      <c r="Q27" s="12">
        <f t="array" ref="Q27">SUM(IF(Discs!B21:B307&lt;&gt;D27,0,IF(Discs!K21:K307&lt;&gt;"Crew",0,1)))</f>
        <v>0</v>
      </c>
      <c r="R27" s="12">
        <f t="array" ref="R27">SUM(IF(Discs!B21:B307&lt;&gt;D27,0,IF(Discs!K21:K307&lt;&gt;"Upgrade",0,1)))</f>
        <v>0</v>
      </c>
      <c r="S27" s="12">
        <f t="array" ref="S27">SUM(IF(Discs!B21:B307&lt;&gt;D27,0,IF(Discs!K21:K307&lt;&gt;"Personal",0,1)))</f>
        <v>0</v>
      </c>
      <c r="T27" s="7">
        <f t="array" ref="T27">SUM(IF(Discs!B21:B307&lt;&gt;D27,0,IF(Discs!K21:K307&lt;&gt;"Scenario",0,1)))</f>
        <v>0</v>
      </c>
      <c r="U27" s="7">
        <f t="shared" si="2"/>
        <v>1</v>
      </c>
      <c r="V27" s="12">
        <v>4</v>
      </c>
      <c r="W27" s="12">
        <v>0</v>
      </c>
      <c r="X27" s="12">
        <v>0</v>
      </c>
      <c r="Z27" s="8"/>
      <c r="AA27" s="8"/>
      <c r="AB27" s="8"/>
      <c r="AC27" s="8"/>
    </row>
    <row r="28" spans="1:35" ht="12" customHeight="1" x14ac:dyDescent="0.15">
      <c r="A28" s="7"/>
      <c r="B28" s="12"/>
      <c r="D28" s="7">
        <v>127</v>
      </c>
      <c r="E28" s="7" t="s">
        <v>4</v>
      </c>
      <c r="F28" s="13"/>
      <c r="G28" s="12" t="s">
        <v>433</v>
      </c>
      <c r="H28" s="7" t="s">
        <v>3</v>
      </c>
      <c r="I28" s="7">
        <v>4</v>
      </c>
      <c r="J28" s="13">
        <v>3</v>
      </c>
      <c r="K28" s="336">
        <v>1</v>
      </c>
      <c r="L28" s="13" t="str">
        <f t="shared" si="1"/>
        <v/>
      </c>
      <c r="M28" s="12">
        <v>1</v>
      </c>
      <c r="N28" s="7">
        <f t="shared" si="0"/>
        <v>5</v>
      </c>
      <c r="O28" s="7"/>
      <c r="P28" s="12">
        <f t="array" ref="P28">SUM(IF(Discs!B22:B308&lt;&gt;D28,0,IF(LEFT(Discs!K22:K308,5)&lt;&gt;"Ship-",0,1)))</f>
        <v>1</v>
      </c>
      <c r="Q28" s="12">
        <f t="array" ref="Q28">SUM(IF(Discs!B22:B308&lt;&gt;D28,0,IF(Discs!K22:K308&lt;&gt;"Crew",0,1)))</f>
        <v>3</v>
      </c>
      <c r="R28" s="12">
        <f t="array" ref="R28">SUM(IF(Discs!B22:B308&lt;&gt;D28,0,IF(Discs!K22:K308&lt;&gt;"Upgrade",0,1)))</f>
        <v>0</v>
      </c>
      <c r="S28" s="12">
        <f t="array" ref="S28">SUM(IF(Discs!B22:B308&lt;&gt;D28,0,IF(Discs!K22:K308&lt;&gt;"Personal",0,1)))</f>
        <v>0</v>
      </c>
      <c r="T28" s="7">
        <f t="array" ref="T28">SUM(IF(Discs!B22:B308&lt;&gt;D28,0,IF(Discs!K22:K308&lt;&gt;"Scenario",0,1)))</f>
        <v>0</v>
      </c>
      <c r="U28" s="7">
        <f t="shared" si="2"/>
        <v>4</v>
      </c>
      <c r="V28" s="12">
        <v>3</v>
      </c>
      <c r="W28" s="12">
        <v>0</v>
      </c>
      <c r="X28" s="12">
        <v>0</v>
      </c>
      <c r="Z28" s="8"/>
      <c r="AA28" s="8"/>
      <c r="AB28" s="8"/>
      <c r="AC28" s="8"/>
    </row>
    <row r="29" spans="1:35" ht="12" customHeight="1" x14ac:dyDescent="0.15">
      <c r="A29" s="7"/>
      <c r="B29" s="13"/>
      <c r="C29" s="13"/>
      <c r="D29" s="7">
        <v>128</v>
      </c>
      <c r="E29" s="7" t="s">
        <v>4</v>
      </c>
      <c r="F29" s="13"/>
      <c r="G29" s="12" t="s">
        <v>433</v>
      </c>
      <c r="H29" s="7" t="s">
        <v>68</v>
      </c>
      <c r="I29" s="7">
        <v>9</v>
      </c>
      <c r="J29" s="13">
        <v>3</v>
      </c>
      <c r="K29" s="336">
        <v>6</v>
      </c>
      <c r="L29" s="13" t="str">
        <f t="shared" si="1"/>
        <v/>
      </c>
      <c r="M29" s="12">
        <v>1</v>
      </c>
      <c r="N29" s="7">
        <f t="shared" si="0"/>
        <v>10</v>
      </c>
      <c r="O29" s="7"/>
      <c r="P29" s="12">
        <f t="array" ref="P29">SUM(IF(Discs!B23:B309&lt;&gt;D29,0,IF(LEFT(Discs!K23:K309,5)&lt;&gt;"Ship-",0,1)))</f>
        <v>1</v>
      </c>
      <c r="Q29" s="12">
        <f t="array" ref="Q29">SUM(IF(Discs!B23:B309&lt;&gt;D29,0,IF(Discs!K23:K309&lt;&gt;"Crew",0,1)))</f>
        <v>3</v>
      </c>
      <c r="R29" s="12">
        <f t="array" ref="R29">SUM(IF(Discs!B23:B309&lt;&gt;D29,0,IF(Discs!K23:K309&lt;&gt;"Upgrade",0,1)))</f>
        <v>0</v>
      </c>
      <c r="S29" s="12">
        <f t="array" ref="S29">SUM(IF(Discs!B23:B309&lt;&gt;D29,0,IF(Discs!K23:K309&lt;&gt;"Personal",0,1)))</f>
        <v>0</v>
      </c>
      <c r="T29" s="7">
        <f t="array" ref="T29">SUM(IF(Discs!B23:B309&lt;&gt;D29,0,IF(Discs!K23:K309&lt;&gt;"Scenario",0,1)))</f>
        <v>0</v>
      </c>
      <c r="U29" s="7">
        <f t="shared" si="2"/>
        <v>4</v>
      </c>
      <c r="V29" s="12">
        <v>3</v>
      </c>
      <c r="W29" s="12">
        <v>0</v>
      </c>
      <c r="X29" s="12">
        <v>0</v>
      </c>
      <c r="Z29" s="8"/>
      <c r="AA29" s="8"/>
      <c r="AB29" s="8"/>
      <c r="AC29" s="8"/>
    </row>
    <row r="30" spans="1:35" ht="12" customHeight="1" x14ac:dyDescent="0.15">
      <c r="A30" s="7"/>
      <c r="B30" s="13"/>
      <c r="D30" s="7">
        <v>129</v>
      </c>
      <c r="E30" s="7" t="s">
        <v>4</v>
      </c>
      <c r="F30" s="13"/>
      <c r="G30" s="7" t="s">
        <v>22</v>
      </c>
      <c r="H30" s="12" t="s">
        <v>577</v>
      </c>
      <c r="I30" s="7">
        <v>11</v>
      </c>
      <c r="J30" s="13">
        <v>3</v>
      </c>
      <c r="K30" s="336">
        <v>8</v>
      </c>
      <c r="L30" s="13" t="str">
        <f t="shared" si="1"/>
        <v/>
      </c>
      <c r="M30" s="12">
        <v>1</v>
      </c>
      <c r="N30" s="7">
        <f t="shared" si="0"/>
        <v>12</v>
      </c>
      <c r="O30" s="7"/>
      <c r="P30" s="12">
        <f t="array" ref="P30">SUM(IF(Discs!B24:B310&lt;&gt;D30,0,IF(LEFT(Discs!K24:K310,5)&lt;&gt;"Ship-",0,1)))</f>
        <v>0</v>
      </c>
      <c r="Q30" s="12">
        <f t="array" ref="Q30">SUM(IF(Discs!B24:B310&lt;&gt;D30,0,IF(Discs!K24:K310&lt;&gt;"Crew",0,1)))</f>
        <v>0</v>
      </c>
      <c r="R30" s="12">
        <f t="array" ref="R30">SUM(IF(Discs!B24:B310&lt;&gt;D30,0,IF(Discs!K24:K310&lt;&gt;"Upgrade",0,1)))</f>
        <v>0</v>
      </c>
      <c r="S30" s="12">
        <f t="array" ref="S30">SUM(IF(Discs!B24:B310&lt;&gt;D30,0,IF(Discs!K24:K310&lt;&gt;"Personal",0,1)))</f>
        <v>0</v>
      </c>
      <c r="T30" s="7">
        <f t="array" ref="T30">SUM(IF(Discs!B24:B310&lt;&gt;D30,0,IF(Discs!K24:K310&lt;&gt;"Scenario",0,1)))</f>
        <v>1</v>
      </c>
      <c r="U30" s="7">
        <f t="shared" si="2"/>
        <v>1</v>
      </c>
      <c r="V30" s="12">
        <v>0</v>
      </c>
      <c r="W30" s="12">
        <v>1</v>
      </c>
      <c r="X30" s="12">
        <v>1</v>
      </c>
      <c r="Z30" s="12">
        <v>2</v>
      </c>
      <c r="AA30" s="12">
        <v>2</v>
      </c>
      <c r="AB30" s="4" t="s">
        <v>246</v>
      </c>
      <c r="AC30" s="12">
        <v>140</v>
      </c>
      <c r="AD30" t="s">
        <v>446</v>
      </c>
    </row>
    <row r="31" spans="1:35" ht="12" customHeight="1" x14ac:dyDescent="0.15">
      <c r="A31" s="7"/>
      <c r="D31" s="7">
        <v>130</v>
      </c>
      <c r="E31" s="7" t="s">
        <v>4</v>
      </c>
      <c r="F31" s="13"/>
      <c r="G31" s="7" t="s">
        <v>22</v>
      </c>
      <c r="H31" s="12" t="s">
        <v>26</v>
      </c>
      <c r="I31" s="7">
        <v>14</v>
      </c>
      <c r="J31" s="13">
        <v>3</v>
      </c>
      <c r="K31" s="336">
        <v>11</v>
      </c>
      <c r="L31" s="13" t="str">
        <f t="shared" si="1"/>
        <v/>
      </c>
      <c r="M31" s="12">
        <v>1</v>
      </c>
      <c r="N31" s="7">
        <f t="shared" si="0"/>
        <v>15</v>
      </c>
      <c r="O31" s="7"/>
      <c r="P31" s="12">
        <f t="array" ref="P31">SUM(IF(Discs!B25:B311&lt;&gt;D31,0,IF(LEFT(Discs!K25:K311,5)&lt;&gt;"Ship-",0,1)))</f>
        <v>0</v>
      </c>
      <c r="Q31" s="12">
        <f t="array" ref="Q31">SUM(IF(Discs!B25:B311&lt;&gt;D31,0,IF(Discs!K25:K311&lt;&gt;"Crew",0,1)))</f>
        <v>0</v>
      </c>
      <c r="R31" s="12">
        <f t="array" ref="R31">SUM(IF(Discs!B25:B311&lt;&gt;D31,0,IF(Discs!K25:K311&lt;&gt;"Upgrade",0,1)))</f>
        <v>0</v>
      </c>
      <c r="S31" s="12">
        <f t="array" ref="S31">SUM(IF(Discs!B25:B311&lt;&gt;D31,0,IF(Discs!K25:K311&lt;&gt;"Personal",0,1)))</f>
        <v>0</v>
      </c>
      <c r="T31" s="7">
        <f t="array" ref="T31">SUM(IF(Discs!B25:B311&lt;&gt;D31,0,IF(Discs!K25:K311&lt;&gt;"Scenario",0,1)))</f>
        <v>1</v>
      </c>
      <c r="U31" s="7">
        <f t="shared" si="2"/>
        <v>1</v>
      </c>
      <c r="V31" s="12">
        <v>0</v>
      </c>
      <c r="W31" s="12">
        <v>2</v>
      </c>
      <c r="X31" s="12">
        <v>0</v>
      </c>
      <c r="Z31" s="12">
        <v>2</v>
      </c>
      <c r="AA31" s="12" t="s">
        <v>243</v>
      </c>
      <c r="AB31" s="4" t="s">
        <v>244</v>
      </c>
      <c r="AC31" s="7">
        <v>350</v>
      </c>
    </row>
    <row r="32" spans="1:35" ht="12" customHeight="1" x14ac:dyDescent="0.15">
      <c r="A32" s="7"/>
      <c r="B32" s="13"/>
      <c r="D32" s="7">
        <v>131</v>
      </c>
      <c r="E32" s="7" t="s">
        <v>4</v>
      </c>
      <c r="F32" s="13"/>
      <c r="G32" s="7" t="s">
        <v>22</v>
      </c>
      <c r="H32" s="12" t="s">
        <v>577</v>
      </c>
      <c r="I32" s="7">
        <v>9</v>
      </c>
      <c r="J32" s="13">
        <v>3</v>
      </c>
      <c r="K32" s="336">
        <v>6</v>
      </c>
      <c r="L32" s="13" t="str">
        <f t="shared" si="1"/>
        <v/>
      </c>
      <c r="M32" s="12">
        <v>0</v>
      </c>
      <c r="N32" s="7">
        <f t="shared" si="0"/>
        <v>9</v>
      </c>
      <c r="O32" s="7"/>
      <c r="P32" s="12">
        <f t="array" ref="P32">SUM(IF(Discs!B26:B312&lt;&gt;D32,0,IF(LEFT(Discs!K26:K312,5)&lt;&gt;"Ship-",0,1)))</f>
        <v>0</v>
      </c>
      <c r="Q32" s="12">
        <f t="array" ref="Q32">SUM(IF(Discs!B26:B312&lt;&gt;D32,0,IF(Discs!K26:K312&lt;&gt;"Crew",0,1)))</f>
        <v>0</v>
      </c>
      <c r="R32" s="12">
        <f t="array" ref="R32">SUM(IF(Discs!B26:B312&lt;&gt;D32,0,IF(Discs!K26:K312&lt;&gt;"Upgrade",0,1)))</f>
        <v>0</v>
      </c>
      <c r="S32" s="12">
        <f t="array" ref="S32">SUM(IF(Discs!B26:B312&lt;&gt;D32,0,IF(Discs!K26:K312&lt;&gt;"Personal",0,1)))</f>
        <v>0</v>
      </c>
      <c r="T32" s="7">
        <f t="array" ref="T32">SUM(IF(Discs!B26:B312&lt;&gt;D32,0,IF(Discs!K26:K312&lt;&gt;"Scenario",0,1)))</f>
        <v>1</v>
      </c>
      <c r="U32" s="7">
        <f t="shared" si="2"/>
        <v>1</v>
      </c>
      <c r="V32" s="12">
        <v>0</v>
      </c>
      <c r="W32" s="12">
        <v>2</v>
      </c>
      <c r="X32" s="12">
        <v>0</v>
      </c>
      <c r="Z32" s="12">
        <v>2</v>
      </c>
      <c r="AA32" s="13" t="s">
        <v>247</v>
      </c>
      <c r="AB32" s="4" t="s">
        <v>246</v>
      </c>
      <c r="AC32" s="7">
        <v>120</v>
      </c>
    </row>
    <row r="33" spans="1:35" ht="12" customHeight="1" x14ac:dyDescent="0.15">
      <c r="A33" s="7"/>
      <c r="C33" s="12"/>
      <c r="D33" s="7">
        <v>132</v>
      </c>
      <c r="E33" s="7" t="s">
        <v>4</v>
      </c>
      <c r="F33" s="13"/>
      <c r="G33" s="7" t="s">
        <v>22</v>
      </c>
      <c r="H33" s="12" t="s">
        <v>3</v>
      </c>
      <c r="I33" s="7">
        <v>14</v>
      </c>
      <c r="J33" s="13">
        <v>3</v>
      </c>
      <c r="K33" s="336">
        <v>11</v>
      </c>
      <c r="L33" s="13" t="str">
        <f t="shared" si="1"/>
        <v/>
      </c>
      <c r="M33" s="12">
        <v>1</v>
      </c>
      <c r="N33" s="7">
        <f t="shared" si="0"/>
        <v>15</v>
      </c>
      <c r="O33" s="7"/>
      <c r="P33" s="12">
        <f t="array" ref="P33">SUM(IF(Discs!B27:B313&lt;&gt;D33,0,IF(LEFT(Discs!K27:K313,5)&lt;&gt;"Ship-",0,1)))</f>
        <v>0</v>
      </c>
      <c r="Q33" s="12">
        <f t="array" ref="Q33">SUM(IF(Discs!B27:B313&lt;&gt;D33,0,IF(Discs!K27:K313&lt;&gt;"Crew",0,1)))</f>
        <v>0</v>
      </c>
      <c r="R33" s="12">
        <f t="array" ref="R33">SUM(IF(Discs!B27:B313&lt;&gt;D33,0,IF(Discs!K27:K313&lt;&gt;"Upgrade",0,1)))</f>
        <v>0</v>
      </c>
      <c r="S33" s="12">
        <f t="array" ref="S33">SUM(IF(Discs!B27:B313&lt;&gt;D33,0,IF(Discs!K27:K313&lt;&gt;"Personal",0,1)))</f>
        <v>0</v>
      </c>
      <c r="T33" s="7">
        <f t="array" ref="T33">SUM(IF(Discs!B27:B313&lt;&gt;D33,0,IF(Discs!K27:K313&lt;&gt;"Scenario",0,1)))</f>
        <v>1</v>
      </c>
      <c r="U33" s="7">
        <f t="shared" si="2"/>
        <v>1</v>
      </c>
      <c r="V33" s="12">
        <v>0</v>
      </c>
      <c r="W33" s="12">
        <v>2</v>
      </c>
      <c r="X33" s="12">
        <v>0</v>
      </c>
      <c r="Z33" s="12">
        <v>2</v>
      </c>
      <c r="AA33" s="12" t="s">
        <v>253</v>
      </c>
      <c r="AB33" s="4" t="s">
        <v>439</v>
      </c>
      <c r="AC33" s="12">
        <v>140</v>
      </c>
    </row>
    <row r="34" spans="1:35" ht="12" customHeight="1" x14ac:dyDescent="0.15">
      <c r="A34" s="7"/>
      <c r="B34" s="13"/>
      <c r="D34" s="7">
        <v>133</v>
      </c>
      <c r="E34" s="7" t="s">
        <v>4</v>
      </c>
      <c r="F34" s="13"/>
      <c r="G34" s="13" t="s">
        <v>434</v>
      </c>
      <c r="H34" s="7" t="s">
        <v>30</v>
      </c>
      <c r="I34" s="7">
        <v>7</v>
      </c>
      <c r="J34" s="13">
        <v>3</v>
      </c>
      <c r="K34" s="336">
        <v>4</v>
      </c>
      <c r="L34" s="13" t="str">
        <f t="shared" si="1"/>
        <v/>
      </c>
      <c r="M34" s="12">
        <v>1</v>
      </c>
      <c r="N34" s="7">
        <f t="shared" ref="N34:N65" si="3">I34+M34</f>
        <v>8</v>
      </c>
      <c r="O34" s="7"/>
      <c r="P34" s="12">
        <f t="array" ref="P34">SUM(IF(Discs!B28:B314&lt;&gt;D34,0,IF(LEFT(Discs!K28:K314,5)&lt;&gt;"Ship-",0,1)))</f>
        <v>0</v>
      </c>
      <c r="Q34" s="12">
        <f t="array" ref="Q34">SUM(IF(Discs!B28:B314&lt;&gt;D34,0,IF(Discs!K28:K314&lt;&gt;"Crew",0,1)))</f>
        <v>2</v>
      </c>
      <c r="R34" s="12">
        <f t="array" ref="R34">SUM(IF(Discs!B28:B314&lt;&gt;D34,0,IF(Discs!K28:K314&lt;&gt;"Upgrade",0,1)))</f>
        <v>1</v>
      </c>
      <c r="S34" s="12">
        <f t="array" ref="S34">SUM(IF(Discs!B28:B314&lt;&gt;D34,0,IF(Discs!K28:K314&lt;&gt;"Personal",0,1)))</f>
        <v>1</v>
      </c>
      <c r="T34" s="7">
        <f t="array" ref="T34">SUM(IF(Discs!B28:B314&lt;&gt;D34,0,IF(Discs!K28:K314&lt;&gt;"Scenario",0,1)))</f>
        <v>0</v>
      </c>
      <c r="U34" s="7">
        <f t="shared" si="2"/>
        <v>4</v>
      </c>
      <c r="V34" s="12">
        <v>0</v>
      </c>
      <c r="W34" s="12">
        <v>0</v>
      </c>
      <c r="X34" s="12">
        <v>0</v>
      </c>
      <c r="Z34" s="8"/>
      <c r="AA34" s="8"/>
      <c r="AB34" s="8"/>
      <c r="AC34" s="8"/>
    </row>
    <row r="35" spans="1:35" s="10" customFormat="1" ht="12" customHeight="1" x14ac:dyDescent="0.15">
      <c r="A35" s="7"/>
      <c r="B35" s="12"/>
      <c r="C35" s="12"/>
      <c r="D35" s="7">
        <v>134</v>
      </c>
      <c r="E35" s="7" t="s">
        <v>4</v>
      </c>
      <c r="F35" s="13"/>
      <c r="G35" s="13" t="s">
        <v>434</v>
      </c>
      <c r="H35" s="7" t="s">
        <v>26</v>
      </c>
      <c r="I35" s="7">
        <v>4</v>
      </c>
      <c r="J35" s="13">
        <v>3</v>
      </c>
      <c r="K35" s="336">
        <v>1</v>
      </c>
      <c r="L35" s="13" t="str">
        <f t="shared" si="1"/>
        <v/>
      </c>
      <c r="M35" s="12">
        <v>3</v>
      </c>
      <c r="N35" s="7">
        <f t="shared" si="3"/>
        <v>7</v>
      </c>
      <c r="O35" s="7"/>
      <c r="P35" s="12">
        <f t="array" ref="P35">SUM(IF(Discs!B29:B315&lt;&gt;D35,0,IF(LEFT(Discs!K29:K315,5)&lt;&gt;"Ship-",0,1)))</f>
        <v>0</v>
      </c>
      <c r="Q35" s="12">
        <f t="array" ref="Q35">SUM(IF(Discs!B29:B315&lt;&gt;D35,0,IF(Discs!K29:K315&lt;&gt;"Crew",0,1)))</f>
        <v>2</v>
      </c>
      <c r="R35" s="12">
        <f t="array" ref="R35">SUM(IF(Discs!B29:B315&lt;&gt;D35,0,IF(Discs!K29:K315&lt;&gt;"Upgrade",0,1)))</f>
        <v>2</v>
      </c>
      <c r="S35" s="12">
        <f t="array" ref="S35">SUM(IF(Discs!B29:B315&lt;&gt;D35,0,IF(Discs!K29:K315&lt;&gt;"Personal",0,1)))</f>
        <v>0</v>
      </c>
      <c r="T35" s="7">
        <f t="array" ref="T35">SUM(IF(Discs!B29:B315&lt;&gt;D35,0,IF(Discs!K29:K315&lt;&gt;"Scenario",0,1)))</f>
        <v>0</v>
      </c>
      <c r="U35" s="7">
        <f t="shared" si="2"/>
        <v>4</v>
      </c>
      <c r="V35" s="12">
        <v>0</v>
      </c>
      <c r="W35" s="12">
        <v>0</v>
      </c>
      <c r="X35" s="12">
        <v>0</v>
      </c>
      <c r="Y35" s="8"/>
      <c r="Z35" s="8"/>
      <c r="AA35" s="8"/>
      <c r="AB35" s="8"/>
      <c r="AC35" s="8"/>
      <c r="AD35" s="8"/>
      <c r="AE35" s="8"/>
      <c r="AF35" s="8"/>
      <c r="AG35" s="8"/>
      <c r="AH35" s="8"/>
      <c r="AI35" s="8"/>
    </row>
    <row r="36" spans="1:35" s="313" customFormat="1" ht="12" customHeight="1" thickBot="1" x14ac:dyDescent="0.2">
      <c r="A36" s="310"/>
      <c r="B36" s="311"/>
      <c r="C36" s="310"/>
      <c r="D36" s="310">
        <v>135</v>
      </c>
      <c r="E36" s="310" t="s">
        <v>4</v>
      </c>
      <c r="F36" s="23" t="s">
        <v>4</v>
      </c>
      <c r="G36" s="23" t="s">
        <v>434</v>
      </c>
      <c r="H36" s="310" t="s">
        <v>68</v>
      </c>
      <c r="I36" s="310">
        <v>8</v>
      </c>
      <c r="J36" s="23">
        <v>3</v>
      </c>
      <c r="K36" s="337">
        <v>5</v>
      </c>
      <c r="L36" s="23" t="str">
        <f t="shared" si="1"/>
        <v/>
      </c>
      <c r="M36" s="311">
        <v>1</v>
      </c>
      <c r="N36" s="310">
        <f t="shared" si="3"/>
        <v>9</v>
      </c>
      <c r="O36" s="310"/>
      <c r="P36" s="311">
        <f t="array" ref="P36">SUM(IF(Discs!B30:B316&lt;&gt;D36,0,IF(LEFT(Discs!K30:K316,5)&lt;&gt;"Ship-",0,1)))</f>
        <v>0</v>
      </c>
      <c r="Q36" s="311">
        <f t="array" ref="Q36">SUM(IF(Discs!B30:B316&lt;&gt;D36,0,IF(Discs!K30:K316&lt;&gt;"Crew",0,1)))</f>
        <v>2</v>
      </c>
      <c r="R36" s="311">
        <f t="array" ref="R36">SUM(IF(Discs!B30:B316&lt;&gt;D36,0,IF(Discs!K30:K316&lt;&gt;"Upgrade",0,1)))</f>
        <v>1</v>
      </c>
      <c r="S36" s="311">
        <f t="array" ref="S36">SUM(IF(Discs!B30:B316&lt;&gt;D36,0,IF(Discs!K30:K316&lt;&gt;"Personal",0,1)))</f>
        <v>1</v>
      </c>
      <c r="T36" s="310">
        <f t="array" ref="T36">SUM(IF(Discs!B30:B316&lt;&gt;D36,0,IF(Discs!K30:K316&lt;&gt;"Scenario",0,1)))</f>
        <v>0</v>
      </c>
      <c r="U36" s="310">
        <f t="shared" si="2"/>
        <v>4</v>
      </c>
      <c r="V36" s="311">
        <v>0</v>
      </c>
      <c r="W36" s="311">
        <v>0</v>
      </c>
      <c r="X36" s="311">
        <v>0</v>
      </c>
      <c r="Y36" s="312"/>
      <c r="Z36" s="312"/>
      <c r="AA36" s="312"/>
      <c r="AB36" s="312"/>
      <c r="AC36" s="312"/>
      <c r="AD36" s="312"/>
      <c r="AE36" s="312"/>
      <c r="AF36" s="312"/>
      <c r="AG36" s="312"/>
      <c r="AH36" s="312"/>
      <c r="AI36" s="312"/>
    </row>
    <row r="37" spans="1:35" s="10" customFormat="1" ht="12" customHeight="1" x14ac:dyDescent="0.15">
      <c r="A37" s="7"/>
      <c r="B37" s="27"/>
      <c r="C37" s="7"/>
      <c r="D37" s="7">
        <v>136</v>
      </c>
      <c r="E37" s="7" t="s">
        <v>4</v>
      </c>
      <c r="F37" s="27"/>
      <c r="G37" s="27" t="s">
        <v>434</v>
      </c>
      <c r="H37" s="7" t="s">
        <v>33</v>
      </c>
      <c r="I37" s="7">
        <v>7</v>
      </c>
      <c r="J37" s="13">
        <v>3</v>
      </c>
      <c r="K37" s="336">
        <v>4</v>
      </c>
      <c r="L37" s="13" t="str">
        <f t="shared" si="1"/>
        <v/>
      </c>
      <c r="M37" s="12">
        <v>3</v>
      </c>
      <c r="N37" s="7">
        <f t="shared" si="3"/>
        <v>10</v>
      </c>
      <c r="O37" s="7"/>
      <c r="P37" s="12">
        <f t="array" ref="P37">SUM(IF(Discs!B31:B317&lt;&gt;D37,0,IF(LEFT(Discs!K31:K317,5)&lt;&gt;"Ship-",0,1)))</f>
        <v>0</v>
      </c>
      <c r="Q37" s="12">
        <f t="array" ref="Q37">SUM(IF(Discs!B31:B317&lt;&gt;D37,0,IF(Discs!K31:K317&lt;&gt;"Crew",0,1)))</f>
        <v>3</v>
      </c>
      <c r="R37" s="12">
        <f t="array" ref="R37">SUM(IF(Discs!B31:B317&lt;&gt;D37,0,IF(Discs!K31:K317&lt;&gt;"Upgrade",0,1)))</f>
        <v>1</v>
      </c>
      <c r="S37" s="12">
        <f t="array" ref="S37">SUM(IF(Discs!B31:B317&lt;&gt;D37,0,IF(Discs!K31:K317&lt;&gt;"Personal",0,1)))</f>
        <v>0</v>
      </c>
      <c r="T37" s="7">
        <f t="array" ref="T37">SUM(IF(Discs!B31:B317&lt;&gt;D37,0,IF(Discs!K31:K317&lt;&gt;"Scenario",0,1)))</f>
        <v>0</v>
      </c>
      <c r="U37" s="7">
        <f t="shared" si="2"/>
        <v>4</v>
      </c>
      <c r="V37" s="12">
        <v>0</v>
      </c>
      <c r="W37" s="12">
        <v>0</v>
      </c>
      <c r="X37" s="12">
        <v>0</v>
      </c>
      <c r="Y37" s="8"/>
      <c r="Z37" s="8"/>
      <c r="AA37" s="8"/>
      <c r="AB37" s="8"/>
      <c r="AC37" s="8"/>
      <c r="AD37" s="8"/>
      <c r="AE37" s="8"/>
      <c r="AF37" s="8"/>
      <c r="AG37" s="8"/>
      <c r="AH37" s="8"/>
      <c r="AI37" s="8"/>
    </row>
    <row r="38" spans="1:35" s="10" customFormat="1" x14ac:dyDescent="0.15">
      <c r="A38" s="7"/>
      <c r="B38" s="13"/>
      <c r="C38" s="7"/>
      <c r="D38" s="7">
        <v>137</v>
      </c>
      <c r="E38" s="7" t="s">
        <v>4</v>
      </c>
      <c r="F38" s="13"/>
      <c r="G38" s="13" t="s">
        <v>434</v>
      </c>
      <c r="H38" s="7" t="s">
        <v>30</v>
      </c>
      <c r="I38" s="7">
        <v>13</v>
      </c>
      <c r="J38" s="13">
        <v>3</v>
      </c>
      <c r="K38" s="336">
        <v>10</v>
      </c>
      <c r="L38" s="13" t="str">
        <f t="shared" si="1"/>
        <v/>
      </c>
      <c r="M38" s="12">
        <v>2</v>
      </c>
      <c r="N38" s="7">
        <f t="shared" si="3"/>
        <v>15</v>
      </c>
      <c r="O38" s="7"/>
      <c r="P38" s="12">
        <f t="array" ref="P38">SUM(IF(Discs!B32:B318&lt;&gt;D38,0,IF(LEFT(Discs!K32:K318,5)&lt;&gt;"Ship-",0,1)))</f>
        <v>0</v>
      </c>
      <c r="Q38" s="12">
        <f t="array" ref="Q38">SUM(IF(Discs!B32:B318&lt;&gt;D38,0,IF(Discs!K32:K318&lt;&gt;"Crew",0,1)))</f>
        <v>3</v>
      </c>
      <c r="R38" s="12">
        <f t="array" ref="R38">SUM(IF(Discs!B32:B318&lt;&gt;D38,0,IF(Discs!K32:K318&lt;&gt;"Upgrade",0,1)))</f>
        <v>0</v>
      </c>
      <c r="S38" s="12">
        <f t="array" ref="S38">SUM(IF(Discs!B32:B318&lt;&gt;D38,0,IF(Discs!K32:K318&lt;&gt;"Personal",0,1)))</f>
        <v>1</v>
      </c>
      <c r="T38" s="7">
        <f t="array" ref="T38">SUM(IF(Discs!B32:B318&lt;&gt;D38,0,IF(Discs!K32:K318&lt;&gt;"Scenario",0,1)))</f>
        <v>0</v>
      </c>
      <c r="U38" s="7">
        <f t="shared" si="2"/>
        <v>4</v>
      </c>
      <c r="V38" s="12">
        <v>0</v>
      </c>
      <c r="W38" s="12">
        <v>0</v>
      </c>
      <c r="X38" s="12">
        <v>0</v>
      </c>
      <c r="Y38" s="8"/>
      <c r="Z38" s="8"/>
      <c r="AA38" s="8"/>
      <c r="AB38" s="8"/>
      <c r="AC38" s="8"/>
      <c r="AD38" s="8"/>
      <c r="AE38" s="8"/>
      <c r="AF38" s="8"/>
      <c r="AG38" s="8"/>
      <c r="AH38" s="8"/>
      <c r="AI38" s="8"/>
    </row>
    <row r="39" spans="1:35" s="10" customFormat="1" ht="12" customHeight="1" x14ac:dyDescent="0.15">
      <c r="A39" s="7"/>
      <c r="B39" s="12"/>
      <c r="C39" s="7"/>
      <c r="D39" s="7">
        <v>138</v>
      </c>
      <c r="E39" s="7" t="s">
        <v>4</v>
      </c>
      <c r="F39" s="13" t="s">
        <v>4</v>
      </c>
      <c r="G39" s="13" t="s">
        <v>434</v>
      </c>
      <c r="H39" s="7" t="s">
        <v>26</v>
      </c>
      <c r="I39" s="7">
        <v>6</v>
      </c>
      <c r="J39" s="13">
        <v>3</v>
      </c>
      <c r="K39" s="336">
        <v>3</v>
      </c>
      <c r="L39" s="13" t="str">
        <f t="shared" si="1"/>
        <v/>
      </c>
      <c r="M39" s="12">
        <v>1</v>
      </c>
      <c r="N39" s="7">
        <f t="shared" si="3"/>
        <v>7</v>
      </c>
      <c r="O39" s="7"/>
      <c r="P39" s="12">
        <f t="array" ref="P39">SUM(IF(Discs!B33:B319&lt;&gt;D39,0,IF(LEFT(Discs!K33:K319,5)&lt;&gt;"Ship-",0,1)))</f>
        <v>0</v>
      </c>
      <c r="Q39" s="12">
        <f t="array" ref="Q39">SUM(IF(Discs!B33:B319&lt;&gt;D39,0,IF(Discs!K33:K319&lt;&gt;"Crew",0,1)))</f>
        <v>3</v>
      </c>
      <c r="R39" s="12">
        <f t="array" ref="R39">SUM(IF(Discs!B33:B319&lt;&gt;D39,0,IF(Discs!K33:K319&lt;&gt;"Upgrade",0,1)))</f>
        <v>0</v>
      </c>
      <c r="S39" s="12">
        <f t="array" ref="S39">SUM(IF(Discs!B33:B319&lt;&gt;D39,0,IF(Discs!K33:K319&lt;&gt;"Personal",0,1)))</f>
        <v>1</v>
      </c>
      <c r="T39" s="7">
        <f t="array" ref="T39">SUM(IF(Discs!B33:B319&lt;&gt;D39,0,IF(Discs!K33:K319&lt;&gt;"Scenario",0,1)))</f>
        <v>0</v>
      </c>
      <c r="U39" s="7">
        <f t="shared" si="2"/>
        <v>4</v>
      </c>
      <c r="V39" s="12">
        <v>0</v>
      </c>
      <c r="W39" s="12">
        <v>0</v>
      </c>
      <c r="X39" s="12">
        <v>0</v>
      </c>
      <c r="Y39" s="8"/>
      <c r="Z39" s="8"/>
      <c r="AA39" s="8"/>
      <c r="AB39" s="8"/>
      <c r="AC39" s="8"/>
      <c r="AD39" s="8"/>
      <c r="AE39" s="8"/>
      <c r="AF39" s="8"/>
      <c r="AG39" s="8"/>
      <c r="AH39" s="8"/>
      <c r="AI39" s="8"/>
    </row>
    <row r="40" spans="1:35" s="10" customFormat="1" ht="12" customHeight="1" x14ac:dyDescent="0.15">
      <c r="A40" s="7"/>
      <c r="B40" s="12"/>
      <c r="C40" s="7"/>
      <c r="D40" s="7">
        <v>139</v>
      </c>
      <c r="E40" s="7" t="s">
        <v>4</v>
      </c>
      <c r="F40" s="13" t="s">
        <v>4</v>
      </c>
      <c r="G40" s="13" t="s">
        <v>434</v>
      </c>
      <c r="H40" s="7" t="s">
        <v>68</v>
      </c>
      <c r="I40" s="7">
        <v>10</v>
      </c>
      <c r="J40" s="13">
        <v>3</v>
      </c>
      <c r="K40" s="336">
        <v>7</v>
      </c>
      <c r="L40" s="13" t="str">
        <f t="shared" si="1"/>
        <v/>
      </c>
      <c r="M40" s="12">
        <v>1</v>
      </c>
      <c r="N40" s="7">
        <f t="shared" si="3"/>
        <v>11</v>
      </c>
      <c r="O40" s="7"/>
      <c r="P40" s="12">
        <f t="array" ref="P40">SUM(IF(Discs!B34:B320&lt;&gt;D40,0,IF(LEFT(Discs!K34:K320,5)&lt;&gt;"Ship-",0,1)))</f>
        <v>0</v>
      </c>
      <c r="Q40" s="12">
        <f t="array" ref="Q40">SUM(IF(Discs!B34:B320&lt;&gt;D40,0,IF(Discs!K34:K320&lt;&gt;"Crew",0,1)))</f>
        <v>3</v>
      </c>
      <c r="R40" s="12">
        <f t="array" ref="R40">SUM(IF(Discs!B34:B320&lt;&gt;D40,0,IF(Discs!K34:K320&lt;&gt;"Upgrade",0,1)))</f>
        <v>0</v>
      </c>
      <c r="S40" s="12">
        <f t="array" ref="S40">SUM(IF(Discs!B34:B320&lt;&gt;D40,0,IF(Discs!K34:K320&lt;&gt;"Personal",0,1)))</f>
        <v>1</v>
      </c>
      <c r="T40" s="7">
        <f t="array" ref="T40">SUM(IF(Discs!B34:B320&lt;&gt;D40,0,IF(Discs!K34:K320&lt;&gt;"Scenario",0,1)))</f>
        <v>0</v>
      </c>
      <c r="U40" s="7">
        <f t="shared" si="2"/>
        <v>4</v>
      </c>
      <c r="V40" s="12">
        <v>0</v>
      </c>
      <c r="W40" s="12">
        <v>0</v>
      </c>
      <c r="X40" s="12">
        <v>0</v>
      </c>
      <c r="Y40" s="8"/>
      <c r="Z40" s="8"/>
      <c r="AA40" s="8"/>
      <c r="AB40" s="8"/>
      <c r="AC40" s="8"/>
      <c r="AD40" s="8"/>
      <c r="AE40" s="8"/>
      <c r="AF40" s="8"/>
      <c r="AG40" s="8"/>
      <c r="AH40" s="8"/>
      <c r="AI40" s="8"/>
    </row>
    <row r="41" spans="1:35" s="10" customFormat="1" ht="12" customHeight="1" x14ac:dyDescent="0.2">
      <c r="A41" s="7"/>
      <c r="B41" s="12"/>
      <c r="C41" s="165" t="s">
        <v>652</v>
      </c>
      <c r="D41" s="7">
        <v>140</v>
      </c>
      <c r="E41" s="7" t="s">
        <v>4</v>
      </c>
      <c r="F41" s="13"/>
      <c r="G41" s="13" t="s">
        <v>434</v>
      </c>
      <c r="H41" s="7" t="s">
        <v>3</v>
      </c>
      <c r="I41" s="7">
        <v>5</v>
      </c>
      <c r="J41" s="13">
        <v>3</v>
      </c>
      <c r="K41" s="336">
        <v>2</v>
      </c>
      <c r="L41" s="13" t="str">
        <f t="shared" si="1"/>
        <v/>
      </c>
      <c r="M41" s="12">
        <v>1</v>
      </c>
      <c r="N41" s="7">
        <f t="shared" si="3"/>
        <v>6</v>
      </c>
      <c r="O41" s="7"/>
      <c r="P41" s="12">
        <f t="array" ref="P41">SUM(IF(Discs!B35:B321&lt;&gt;D41,0,IF(LEFT(Discs!K35:K321,5)&lt;&gt;"Ship-",0,1)))</f>
        <v>0</v>
      </c>
      <c r="Q41" s="12">
        <f t="array" ref="Q41">SUM(IF(Discs!B35:B321&lt;&gt;D41,0,IF(Discs!K35:K321&lt;&gt;"Crew",0,1)))</f>
        <v>3</v>
      </c>
      <c r="R41" s="12">
        <f t="array" ref="R41">SUM(IF(Discs!B35:B321&lt;&gt;D41,0,IF(Discs!K35:K321&lt;&gt;"Upgrade",0,1)))</f>
        <v>1</v>
      </c>
      <c r="S41" s="12">
        <f t="array" ref="S41">SUM(IF(Discs!B35:B321&lt;&gt;D41,0,IF(Discs!K35:K321&lt;&gt;"Personal",0,1)))</f>
        <v>0</v>
      </c>
      <c r="T41" s="7">
        <f t="array" ref="T41">SUM(IF(Discs!B35:B321&lt;&gt;D41,0,IF(Discs!K35:K321&lt;&gt;"Scenario",0,1)))</f>
        <v>0</v>
      </c>
      <c r="U41" s="7">
        <f t="shared" si="2"/>
        <v>4</v>
      </c>
      <c r="V41" s="12">
        <v>0</v>
      </c>
      <c r="W41" s="12">
        <v>0</v>
      </c>
      <c r="X41" s="12">
        <v>0</v>
      </c>
      <c r="Y41" s="8"/>
      <c r="Z41" s="8"/>
      <c r="AA41" s="8"/>
      <c r="AB41" s="8"/>
      <c r="AC41" s="8"/>
      <c r="AD41" s="8"/>
      <c r="AE41" s="8"/>
      <c r="AF41" s="8"/>
      <c r="AG41" s="8"/>
      <c r="AH41" s="8"/>
      <c r="AI41" s="8"/>
    </row>
    <row r="42" spans="1:35" s="10" customFormat="1" x14ac:dyDescent="0.15">
      <c r="A42" s="7"/>
      <c r="B42" s="13"/>
      <c r="C42" s="7"/>
      <c r="D42" s="7">
        <v>141</v>
      </c>
      <c r="E42" s="7" t="s">
        <v>17</v>
      </c>
      <c r="F42" s="13"/>
      <c r="G42" s="12" t="s">
        <v>433</v>
      </c>
      <c r="H42" s="7" t="s">
        <v>30</v>
      </c>
      <c r="I42" s="7">
        <v>8</v>
      </c>
      <c r="J42" s="13">
        <v>3</v>
      </c>
      <c r="K42" s="336">
        <v>5</v>
      </c>
      <c r="L42" s="13" t="str">
        <f t="shared" si="1"/>
        <v/>
      </c>
      <c r="M42" s="12">
        <v>2</v>
      </c>
      <c r="N42" s="7">
        <f t="shared" si="3"/>
        <v>10</v>
      </c>
      <c r="O42" s="7"/>
      <c r="P42" s="12">
        <f t="array" ref="P42">SUM(IF(Discs!B36:B322&lt;&gt;D42,0,IF(LEFT(Discs!K36:K322,5)&lt;&gt;"Ship-",0,1)))</f>
        <v>1</v>
      </c>
      <c r="Q42" s="12">
        <f t="array" ref="Q42">SUM(IF(Discs!B36:B322&lt;&gt;D42,0,IF(Discs!K36:K322&lt;&gt;"Crew",0,1)))</f>
        <v>1</v>
      </c>
      <c r="R42" s="12">
        <f t="array" ref="R42">SUM(IF(Discs!B36:B322&lt;&gt;D42,0,IF(Discs!K36:K322&lt;&gt;"Upgrade",0,1)))</f>
        <v>1</v>
      </c>
      <c r="S42" s="12">
        <f t="array" ref="S42">SUM(IF(Discs!B36:B322&lt;&gt;D42,0,IF(Discs!K36:K322&lt;&gt;"Personal",0,1)))</f>
        <v>0</v>
      </c>
      <c r="T42" s="7">
        <f t="array" ref="T42">SUM(IF(Discs!B36:B322&lt;&gt;D42,0,IF(Discs!K36:K322&lt;&gt;"Scenario",0,1)))</f>
        <v>0</v>
      </c>
      <c r="U42" s="7">
        <f t="shared" si="2"/>
        <v>3</v>
      </c>
      <c r="V42" s="12">
        <v>3</v>
      </c>
      <c r="W42" s="12">
        <v>0</v>
      </c>
      <c r="X42" s="12">
        <v>0</v>
      </c>
      <c r="Y42" s="8"/>
      <c r="Z42" s="8"/>
      <c r="AA42" s="8"/>
      <c r="AB42" s="8"/>
      <c r="AC42" s="8"/>
      <c r="AD42" s="8"/>
      <c r="AE42" s="8"/>
      <c r="AF42" s="8"/>
      <c r="AG42" s="8"/>
      <c r="AH42" s="8"/>
      <c r="AI42" s="8"/>
    </row>
    <row r="43" spans="1:35" s="10" customFormat="1" ht="12" customHeight="1" x14ac:dyDescent="0.15">
      <c r="A43" s="7"/>
      <c r="B43" s="13"/>
      <c r="C43" s="7"/>
      <c r="D43" s="7">
        <v>142</v>
      </c>
      <c r="E43" s="7" t="s">
        <v>17</v>
      </c>
      <c r="F43" s="13"/>
      <c r="G43" s="12" t="s">
        <v>433</v>
      </c>
      <c r="H43" s="7" t="s">
        <v>26</v>
      </c>
      <c r="I43" s="12">
        <v>7</v>
      </c>
      <c r="J43" s="13">
        <v>3</v>
      </c>
      <c r="K43" s="336">
        <v>4</v>
      </c>
      <c r="L43" s="13" t="str">
        <f t="shared" si="1"/>
        <v/>
      </c>
      <c r="M43" s="12">
        <v>3</v>
      </c>
      <c r="N43" s="7">
        <f t="shared" si="3"/>
        <v>10</v>
      </c>
      <c r="O43" s="7"/>
      <c r="P43" s="12">
        <f t="array" ref="P43">SUM(IF(Discs!B37:B323&lt;&gt;D43,0,IF(LEFT(Discs!K37:K323,5)&lt;&gt;"Ship-",0,1)))</f>
        <v>1</v>
      </c>
      <c r="Q43" s="12">
        <f t="array" ref="Q43">SUM(IF(Discs!B37:B323&lt;&gt;D43,0,IF(Discs!K37:K323&lt;&gt;"Crew",0,1)))</f>
        <v>1</v>
      </c>
      <c r="R43" s="12">
        <f t="array" ref="R43">SUM(IF(Discs!B37:B323&lt;&gt;D43,0,IF(Discs!K37:K323&lt;&gt;"Upgrade",0,1)))</f>
        <v>1</v>
      </c>
      <c r="S43" s="12">
        <f t="array" ref="S43">SUM(IF(Discs!B37:B323&lt;&gt;D43,0,IF(Discs!K37:K323&lt;&gt;"Personal",0,1)))</f>
        <v>0</v>
      </c>
      <c r="T43" s="7">
        <f t="array" ref="T43">SUM(IF(Discs!B37:B323&lt;&gt;D43,0,IF(Discs!K37:K323&lt;&gt;"Scenario",0,1)))</f>
        <v>0</v>
      </c>
      <c r="U43" s="7">
        <f t="shared" si="2"/>
        <v>3</v>
      </c>
      <c r="V43" s="12">
        <v>3</v>
      </c>
      <c r="W43" s="7">
        <v>0</v>
      </c>
      <c r="X43" s="7">
        <v>0</v>
      </c>
      <c r="Y43" s="8"/>
      <c r="Z43" s="8"/>
      <c r="AA43" s="8"/>
      <c r="AB43" s="8"/>
      <c r="AC43" s="8"/>
      <c r="AD43" s="8"/>
      <c r="AE43" s="8"/>
      <c r="AF43" s="8"/>
      <c r="AG43" s="8"/>
      <c r="AH43" s="8"/>
      <c r="AI43" s="8"/>
    </row>
    <row r="44" spans="1:35" s="10" customFormat="1" ht="12" customHeight="1" x14ac:dyDescent="0.15">
      <c r="A44" s="7"/>
      <c r="B44" s="7"/>
      <c r="C44" s="12"/>
      <c r="D44" s="7">
        <v>143</v>
      </c>
      <c r="E44" s="7" t="s">
        <v>17</v>
      </c>
      <c r="F44" s="13"/>
      <c r="G44" s="12" t="s">
        <v>433</v>
      </c>
      <c r="H44" s="7" t="s">
        <v>26</v>
      </c>
      <c r="I44" s="12">
        <v>7</v>
      </c>
      <c r="J44" s="13">
        <v>3</v>
      </c>
      <c r="K44" s="336">
        <v>4</v>
      </c>
      <c r="L44" s="13" t="str">
        <f t="shared" si="1"/>
        <v/>
      </c>
      <c r="M44" s="12">
        <v>2</v>
      </c>
      <c r="N44" s="7">
        <f t="shared" si="3"/>
        <v>9</v>
      </c>
      <c r="O44" s="7"/>
      <c r="P44" s="12">
        <f t="array" ref="P44">SUM(IF(Discs!B38:B324&lt;&gt;D44,0,IF(LEFT(Discs!K38:K324,5)&lt;&gt;"Ship-",0,1)))</f>
        <v>1</v>
      </c>
      <c r="Q44" s="12">
        <f t="array" ref="Q44">SUM(IF(Discs!B38:B324&lt;&gt;D44,0,IF(Discs!K38:K324&lt;&gt;"Crew",0,1)))</f>
        <v>1</v>
      </c>
      <c r="R44" s="12">
        <f t="array" ref="R44">SUM(IF(Discs!B38:B324&lt;&gt;D44,0,IF(Discs!K38:K324&lt;&gt;"Upgrade",0,1)))</f>
        <v>1</v>
      </c>
      <c r="S44" s="12">
        <f t="array" ref="S44">SUM(IF(Discs!B38:B324&lt;&gt;D44,0,IF(Discs!K38:K324&lt;&gt;"Personal",0,1)))</f>
        <v>0</v>
      </c>
      <c r="T44" s="7">
        <f t="array" ref="T44">SUM(IF(Discs!B38:B324&lt;&gt;D44,0,IF(Discs!K38:K324&lt;&gt;"Scenario",0,1)))</f>
        <v>0</v>
      </c>
      <c r="U44" s="7">
        <f t="shared" si="2"/>
        <v>3</v>
      </c>
      <c r="V44" s="12">
        <v>3</v>
      </c>
      <c r="W44" s="7">
        <v>0</v>
      </c>
      <c r="X44" s="7">
        <v>0</v>
      </c>
      <c r="Y44" s="8"/>
      <c r="Z44" s="8"/>
      <c r="AA44" s="8"/>
      <c r="AB44" s="8"/>
      <c r="AC44" s="8"/>
      <c r="AD44" s="8"/>
      <c r="AE44" s="8"/>
      <c r="AF44" s="8"/>
      <c r="AG44" s="8"/>
      <c r="AH44" s="8"/>
      <c r="AI44" s="8"/>
    </row>
    <row r="45" spans="1:35" s="10" customFormat="1" ht="12" customHeight="1" x14ac:dyDescent="0.15">
      <c r="A45" s="7"/>
      <c r="B45" s="13"/>
      <c r="C45" s="7"/>
      <c r="D45" s="7">
        <v>144</v>
      </c>
      <c r="E45" s="7" t="s">
        <v>17</v>
      </c>
      <c r="F45" s="13"/>
      <c r="G45" s="12" t="s">
        <v>433</v>
      </c>
      <c r="H45" s="7" t="s">
        <v>33</v>
      </c>
      <c r="I45" s="7">
        <v>8</v>
      </c>
      <c r="J45" s="13">
        <v>3</v>
      </c>
      <c r="K45" s="336">
        <v>5</v>
      </c>
      <c r="L45" s="13" t="str">
        <f t="shared" si="1"/>
        <v/>
      </c>
      <c r="M45" s="12">
        <v>4</v>
      </c>
      <c r="N45" s="7">
        <f t="shared" si="3"/>
        <v>12</v>
      </c>
      <c r="O45" s="7"/>
      <c r="P45" s="12">
        <f t="array" ref="P45">SUM(IF(Discs!B39:B325&lt;&gt;D45,0,IF(LEFT(Discs!K39:K325,5)&lt;&gt;"Ship-",0,1)))</f>
        <v>1</v>
      </c>
      <c r="Q45" s="12">
        <f t="array" ref="Q45">SUM(IF(Discs!B39:B325&lt;&gt;D45,0,IF(Discs!K39:K325&lt;&gt;"Crew",0,1)))</f>
        <v>1</v>
      </c>
      <c r="R45" s="12">
        <f t="array" ref="R45">SUM(IF(Discs!B39:B325&lt;&gt;D45,0,IF(Discs!K39:K325&lt;&gt;"Upgrade",0,1)))</f>
        <v>1</v>
      </c>
      <c r="S45" s="12">
        <f t="array" ref="S45">SUM(IF(Discs!B39:B325&lt;&gt;D45,0,IF(Discs!K39:K325&lt;&gt;"Personal",0,1)))</f>
        <v>0</v>
      </c>
      <c r="T45" s="7">
        <f t="array" ref="T45">SUM(IF(Discs!B39:B325&lt;&gt;D45,0,IF(Discs!K39:K325&lt;&gt;"Scenario",0,1)))</f>
        <v>0</v>
      </c>
      <c r="U45" s="7">
        <f t="shared" si="2"/>
        <v>3</v>
      </c>
      <c r="V45" s="12">
        <v>3</v>
      </c>
      <c r="W45" s="12">
        <v>0</v>
      </c>
      <c r="X45" s="12">
        <v>0</v>
      </c>
      <c r="Y45" s="8"/>
      <c r="Z45" s="8"/>
      <c r="AA45" s="8"/>
      <c r="AB45" s="8"/>
      <c r="AC45" s="8"/>
      <c r="AD45" s="8"/>
      <c r="AE45" s="8"/>
      <c r="AF45" s="8"/>
      <c r="AG45" s="8"/>
      <c r="AH45" s="8"/>
      <c r="AI45" s="8"/>
    </row>
    <row r="46" spans="1:35" s="10" customFormat="1" ht="12" customHeight="1" x14ac:dyDescent="0.15">
      <c r="A46" s="7"/>
      <c r="B46" s="13"/>
      <c r="C46" s="7"/>
      <c r="D46" s="7">
        <v>145</v>
      </c>
      <c r="E46" s="7" t="s">
        <v>17</v>
      </c>
      <c r="F46" s="13"/>
      <c r="G46" s="12" t="s">
        <v>433</v>
      </c>
      <c r="H46" s="7" t="s">
        <v>33</v>
      </c>
      <c r="I46" s="7">
        <v>9</v>
      </c>
      <c r="J46" s="13">
        <v>3</v>
      </c>
      <c r="K46" s="336">
        <v>6</v>
      </c>
      <c r="L46" s="13" t="str">
        <f t="shared" si="1"/>
        <v/>
      </c>
      <c r="M46" s="12">
        <v>2</v>
      </c>
      <c r="N46" s="7">
        <f t="shared" si="3"/>
        <v>11</v>
      </c>
      <c r="O46" s="7"/>
      <c r="P46" s="12">
        <f t="array" ref="P46">SUM(IF(Discs!B40:B326&lt;&gt;D46,0,IF(LEFT(Discs!K40:K326,5)&lt;&gt;"Ship-",0,1)))</f>
        <v>1</v>
      </c>
      <c r="Q46" s="12">
        <f t="array" ref="Q46">SUM(IF(Discs!B40:B326&lt;&gt;D46,0,IF(Discs!K40:K326&lt;&gt;"Crew",0,1)))</f>
        <v>0</v>
      </c>
      <c r="R46" s="12">
        <f t="array" ref="R46">SUM(IF(Discs!B40:B326&lt;&gt;D46,0,IF(Discs!K40:K326&lt;&gt;"Upgrade",0,1)))</f>
        <v>0</v>
      </c>
      <c r="S46" s="12">
        <f t="array" ref="S46">SUM(IF(Discs!B40:B326&lt;&gt;D46,0,IF(Discs!K40:K326&lt;&gt;"Personal",0,1)))</f>
        <v>0</v>
      </c>
      <c r="T46" s="7">
        <f t="array" ref="T46">SUM(IF(Discs!B40:B326&lt;&gt;D46,0,IF(Discs!K40:K326&lt;&gt;"Scenario",0,1)))</f>
        <v>0</v>
      </c>
      <c r="U46" s="7">
        <f t="shared" si="2"/>
        <v>1</v>
      </c>
      <c r="V46" s="12">
        <v>4</v>
      </c>
      <c r="W46" s="12">
        <v>0</v>
      </c>
      <c r="X46" s="12">
        <v>0</v>
      </c>
      <c r="Y46" s="8"/>
      <c r="Z46" s="8"/>
      <c r="AA46" s="8"/>
      <c r="AB46" s="8"/>
      <c r="AC46" s="8"/>
      <c r="AD46" s="8"/>
      <c r="AE46" s="8"/>
      <c r="AF46" s="8"/>
      <c r="AG46" s="8"/>
      <c r="AH46" s="8"/>
      <c r="AI46" s="8"/>
    </row>
    <row r="47" spans="1:35" s="10" customFormat="1" ht="12" customHeight="1" x14ac:dyDescent="0.15">
      <c r="A47" s="7"/>
      <c r="B47" s="12"/>
      <c r="C47" s="12"/>
      <c r="D47" s="7">
        <v>146</v>
      </c>
      <c r="E47" s="7" t="s">
        <v>17</v>
      </c>
      <c r="F47" s="13"/>
      <c r="G47" s="12" t="s">
        <v>433</v>
      </c>
      <c r="H47" s="7" t="s">
        <v>68</v>
      </c>
      <c r="I47" s="7">
        <v>6</v>
      </c>
      <c r="J47" s="13">
        <v>3</v>
      </c>
      <c r="K47" s="336">
        <v>3</v>
      </c>
      <c r="L47" s="13" t="str">
        <f t="shared" si="1"/>
        <v/>
      </c>
      <c r="M47" s="12">
        <v>1</v>
      </c>
      <c r="N47" s="7">
        <f t="shared" si="3"/>
        <v>7</v>
      </c>
      <c r="O47" s="7"/>
      <c r="P47" s="12">
        <f t="array" ref="P47">SUM(IF(Discs!B41:B327&lt;&gt;D47,0,IF(LEFT(Discs!K41:K327,5)&lt;&gt;"Ship-",0,1)))</f>
        <v>1</v>
      </c>
      <c r="Q47" s="12">
        <f t="array" ref="Q47">SUM(IF(Discs!B41:B327&lt;&gt;D47,0,IF(Discs!K41:K327&lt;&gt;"Crew",0,1)))</f>
        <v>0</v>
      </c>
      <c r="R47" s="12">
        <f t="array" ref="R47">SUM(IF(Discs!B41:B327&lt;&gt;D47,0,IF(Discs!K41:K327&lt;&gt;"Upgrade",0,1)))</f>
        <v>0</v>
      </c>
      <c r="S47" s="12">
        <f t="array" ref="S47">SUM(IF(Discs!B41:B327&lt;&gt;D47,0,IF(Discs!K41:K327&lt;&gt;"Personal",0,1)))</f>
        <v>0</v>
      </c>
      <c r="T47" s="7">
        <f t="array" ref="T47">SUM(IF(Discs!B41:B327&lt;&gt;D47,0,IF(Discs!K41:K327&lt;&gt;"Scenario",0,1)))</f>
        <v>0</v>
      </c>
      <c r="U47" s="7">
        <f t="shared" si="2"/>
        <v>1</v>
      </c>
      <c r="V47" s="12">
        <v>4</v>
      </c>
      <c r="W47" s="12">
        <v>0</v>
      </c>
      <c r="X47" s="7">
        <v>0</v>
      </c>
      <c r="Y47" s="8"/>
      <c r="Z47" s="8"/>
      <c r="AA47" s="8"/>
      <c r="AB47" s="8"/>
      <c r="AC47" s="8"/>
      <c r="AD47" s="8"/>
      <c r="AE47" s="8"/>
      <c r="AF47" s="8"/>
      <c r="AG47" s="8"/>
      <c r="AH47" s="8"/>
      <c r="AI47" s="8"/>
    </row>
    <row r="48" spans="1:35" s="10" customFormat="1" x14ac:dyDescent="0.15">
      <c r="A48" s="7"/>
      <c r="B48" s="13"/>
      <c r="C48" s="13"/>
      <c r="D48" s="7">
        <v>147</v>
      </c>
      <c r="E48" s="7" t="s">
        <v>17</v>
      </c>
      <c r="F48" s="13"/>
      <c r="G48" s="12" t="s">
        <v>433</v>
      </c>
      <c r="H48" s="7" t="s">
        <v>30</v>
      </c>
      <c r="I48" s="7">
        <v>5</v>
      </c>
      <c r="J48" s="13">
        <v>3</v>
      </c>
      <c r="K48" s="336">
        <v>2</v>
      </c>
      <c r="L48" s="13" t="str">
        <f t="shared" si="1"/>
        <v/>
      </c>
      <c r="M48" s="12">
        <v>3</v>
      </c>
      <c r="N48" s="7">
        <f t="shared" si="3"/>
        <v>8</v>
      </c>
      <c r="O48" s="7"/>
      <c r="P48" s="12">
        <f t="array" ref="P48">SUM(IF(Discs!B42:B328&lt;&gt;D48,0,IF(LEFT(Discs!K42:K328,5)&lt;&gt;"Ship-",0,1)))</f>
        <v>1</v>
      </c>
      <c r="Q48" s="12">
        <f t="array" ref="Q48">SUM(IF(Discs!B42:B328&lt;&gt;D48,0,IF(Discs!K42:K328&lt;&gt;"Crew",0,1)))</f>
        <v>3</v>
      </c>
      <c r="R48" s="12">
        <f t="array" ref="R48">SUM(IF(Discs!B42:B328&lt;&gt;D48,0,IF(Discs!K42:K328&lt;&gt;"Upgrade",0,1)))</f>
        <v>0</v>
      </c>
      <c r="S48" s="12">
        <f t="array" ref="S48">SUM(IF(Discs!B42:B328&lt;&gt;D48,0,IF(Discs!K42:K328&lt;&gt;"Personal",0,1)))</f>
        <v>0</v>
      </c>
      <c r="T48" s="7">
        <f t="array" ref="T48">SUM(IF(Discs!B42:B328&lt;&gt;D48,0,IF(Discs!K42:K328&lt;&gt;"Scenario",0,1)))</f>
        <v>0</v>
      </c>
      <c r="U48" s="7">
        <f t="shared" si="2"/>
        <v>4</v>
      </c>
      <c r="V48" s="12">
        <v>3</v>
      </c>
      <c r="W48" s="7">
        <v>0</v>
      </c>
      <c r="X48" s="7">
        <v>0</v>
      </c>
      <c r="Y48" s="8"/>
      <c r="Z48" s="8"/>
      <c r="AA48" s="8"/>
      <c r="AB48" s="8"/>
      <c r="AC48" s="8"/>
      <c r="AD48" s="8"/>
      <c r="AE48" s="8"/>
      <c r="AF48" s="8"/>
      <c r="AG48" s="8"/>
      <c r="AH48" s="8"/>
      <c r="AI48" s="8"/>
    </row>
    <row r="49" spans="1:35" ht="12" customHeight="1" x14ac:dyDescent="0.15">
      <c r="A49" s="7"/>
      <c r="B49" s="12"/>
      <c r="D49" s="7">
        <v>148</v>
      </c>
      <c r="E49" s="7" t="s">
        <v>17</v>
      </c>
      <c r="F49" s="13"/>
      <c r="G49" s="12" t="s">
        <v>433</v>
      </c>
      <c r="H49" s="7" t="s">
        <v>33</v>
      </c>
      <c r="I49" s="7">
        <v>6</v>
      </c>
      <c r="J49" s="13">
        <v>3</v>
      </c>
      <c r="K49" s="336">
        <v>3</v>
      </c>
      <c r="L49" s="13" t="str">
        <f t="shared" si="1"/>
        <v/>
      </c>
      <c r="M49" s="12">
        <v>6</v>
      </c>
      <c r="N49" s="7">
        <f t="shared" si="3"/>
        <v>12</v>
      </c>
      <c r="O49" s="7"/>
      <c r="P49" s="12">
        <f t="array" ref="P49">SUM(IF(Discs!B43:B329&lt;&gt;D49,0,IF(LEFT(Discs!K43:K329,5)&lt;&gt;"Ship-",0,1)))</f>
        <v>1</v>
      </c>
      <c r="Q49" s="12">
        <f t="array" ref="Q49">SUM(IF(Discs!B43:B329&lt;&gt;D49,0,IF(Discs!K43:K329&lt;&gt;"Crew",0,1)))</f>
        <v>1</v>
      </c>
      <c r="R49" s="12">
        <f t="array" ref="R49">SUM(IF(Discs!B43:B329&lt;&gt;D49,0,IF(Discs!K43:K329&lt;&gt;"Upgrade",0,1)))</f>
        <v>1</v>
      </c>
      <c r="S49" s="12">
        <f t="array" ref="S49">SUM(IF(Discs!B43:B329&lt;&gt;D49,0,IF(Discs!K43:K329&lt;&gt;"Personal",0,1)))</f>
        <v>1</v>
      </c>
      <c r="T49" s="7">
        <f t="array" ref="T49">SUM(IF(Discs!B43:B329&lt;&gt;D49,0,IF(Discs!K43:K329&lt;&gt;"Scenario",0,1)))</f>
        <v>0</v>
      </c>
      <c r="U49" s="7">
        <f t="shared" si="2"/>
        <v>4</v>
      </c>
      <c r="V49" s="12">
        <v>3</v>
      </c>
      <c r="W49" s="12">
        <v>0</v>
      </c>
      <c r="X49" s="12">
        <v>0</v>
      </c>
      <c r="Z49" s="8"/>
      <c r="AA49" s="8"/>
      <c r="AB49" s="8"/>
      <c r="AC49" s="8"/>
    </row>
    <row r="50" spans="1:35" x14ac:dyDescent="0.15">
      <c r="A50" s="7"/>
      <c r="B50" s="13"/>
      <c r="D50" s="7">
        <v>149</v>
      </c>
      <c r="E50" s="7" t="s">
        <v>17</v>
      </c>
      <c r="F50" s="13"/>
      <c r="G50" s="7" t="s">
        <v>22</v>
      </c>
      <c r="H50" s="12" t="s">
        <v>577</v>
      </c>
      <c r="I50" s="7">
        <v>11</v>
      </c>
      <c r="J50" s="13">
        <v>3</v>
      </c>
      <c r="K50" s="336">
        <v>8</v>
      </c>
      <c r="L50" s="13" t="str">
        <f t="shared" si="1"/>
        <v/>
      </c>
      <c r="M50" s="12">
        <v>1</v>
      </c>
      <c r="N50" s="7">
        <f t="shared" si="3"/>
        <v>12</v>
      </c>
      <c r="O50" s="7"/>
      <c r="P50" s="12">
        <f t="array" ref="P50">SUM(IF(Discs!B44:B330&lt;&gt;D50,0,IF(LEFT(Discs!K44:K330,5)&lt;&gt;"Ship-",0,1)))</f>
        <v>0</v>
      </c>
      <c r="Q50" s="12">
        <f t="array" ref="Q50">SUM(IF(Discs!B44:B330&lt;&gt;D50,0,IF(Discs!K44:K330&lt;&gt;"Crew",0,1)))</f>
        <v>0</v>
      </c>
      <c r="R50" s="12">
        <f t="array" ref="R50">SUM(IF(Discs!B44:B330&lt;&gt;D50,0,IF(Discs!K44:K330&lt;&gt;"Upgrade",0,1)))</f>
        <v>0</v>
      </c>
      <c r="S50" s="12">
        <f t="array" ref="S50">SUM(IF(Discs!B44:B330&lt;&gt;D50,0,IF(Discs!K44:K330&lt;&gt;"Personal",0,1)))</f>
        <v>0</v>
      </c>
      <c r="T50" s="7">
        <f t="array" ref="T50">SUM(IF(Discs!B44:B330&lt;&gt;D50,0,IF(Discs!K44:K330&lt;&gt;"Scenario",0,1)))</f>
        <v>1</v>
      </c>
      <c r="U50" s="7">
        <f t="shared" si="2"/>
        <v>1</v>
      </c>
      <c r="V50" s="12">
        <v>0</v>
      </c>
      <c r="W50" s="12">
        <v>2</v>
      </c>
      <c r="X50" s="12">
        <v>0</v>
      </c>
      <c r="Z50" s="12">
        <v>1</v>
      </c>
      <c r="AA50" s="12" t="s">
        <v>442</v>
      </c>
      <c r="AB50" s="4" t="s">
        <v>440</v>
      </c>
      <c r="AC50" s="7">
        <v>400</v>
      </c>
    </row>
    <row r="51" spans="1:35" ht="12" customHeight="1" x14ac:dyDescent="0.15">
      <c r="A51" s="7"/>
      <c r="C51" s="12"/>
      <c r="D51" s="7">
        <v>150</v>
      </c>
      <c r="E51" s="7" t="s">
        <v>17</v>
      </c>
      <c r="F51" s="13"/>
      <c r="G51" s="7" t="s">
        <v>22</v>
      </c>
      <c r="H51" s="12" t="s">
        <v>577</v>
      </c>
      <c r="I51" s="7">
        <v>11</v>
      </c>
      <c r="J51" s="13">
        <v>3</v>
      </c>
      <c r="K51" s="336">
        <v>8</v>
      </c>
      <c r="L51" s="13" t="str">
        <f t="shared" si="1"/>
        <v/>
      </c>
      <c r="M51" s="12">
        <v>1</v>
      </c>
      <c r="N51" s="7">
        <f t="shared" si="3"/>
        <v>12</v>
      </c>
      <c r="O51" s="7"/>
      <c r="P51" s="12">
        <f t="array" ref="P51">SUM(IF(Discs!B45:B331&lt;&gt;D51,0,IF(LEFT(Discs!K45:K331,5)&lt;&gt;"Ship-",0,1)))</f>
        <v>0</v>
      </c>
      <c r="Q51" s="12">
        <f t="array" ref="Q51">SUM(IF(Discs!B45:B331&lt;&gt;D51,0,IF(Discs!K45:K331&lt;&gt;"Crew",0,1)))</f>
        <v>0</v>
      </c>
      <c r="R51" s="12">
        <f t="array" ref="R51">SUM(IF(Discs!B45:B331&lt;&gt;D51,0,IF(Discs!K45:K331&lt;&gt;"Upgrade",0,1)))</f>
        <v>0</v>
      </c>
      <c r="S51" s="12">
        <f t="array" ref="S51">SUM(IF(Discs!B45:B331&lt;&gt;D51,0,IF(Discs!K45:K331&lt;&gt;"Personal",0,1)))</f>
        <v>0</v>
      </c>
      <c r="T51" s="7">
        <f t="array" ref="T51">SUM(IF(Discs!B45:B331&lt;&gt;D51,0,IF(Discs!K45:K331&lt;&gt;"Scenario",0,1)))</f>
        <v>1</v>
      </c>
      <c r="U51" s="7">
        <f t="shared" si="2"/>
        <v>1</v>
      </c>
      <c r="V51" s="12">
        <v>0</v>
      </c>
      <c r="W51" s="12">
        <v>2</v>
      </c>
      <c r="X51" s="12">
        <v>0</v>
      </c>
      <c r="Z51" s="12">
        <v>2</v>
      </c>
      <c r="AA51" s="12">
        <v>2</v>
      </c>
      <c r="AB51" s="4" t="s">
        <v>246</v>
      </c>
      <c r="AC51" s="12">
        <v>80</v>
      </c>
    </row>
    <row r="52" spans="1:35" ht="12" customHeight="1" x14ac:dyDescent="0.15">
      <c r="A52" s="7"/>
      <c r="D52" s="7">
        <v>151</v>
      </c>
      <c r="E52" s="7" t="s">
        <v>17</v>
      </c>
      <c r="F52" s="13"/>
      <c r="G52" s="7" t="s">
        <v>22</v>
      </c>
      <c r="H52" s="12" t="s">
        <v>577</v>
      </c>
      <c r="I52" s="7">
        <v>7</v>
      </c>
      <c r="J52" s="13">
        <v>3</v>
      </c>
      <c r="K52" s="166">
        <v>4</v>
      </c>
      <c r="L52" s="13" t="str">
        <f t="shared" si="1"/>
        <v/>
      </c>
      <c r="M52" s="12">
        <v>1</v>
      </c>
      <c r="N52" s="7">
        <f t="shared" si="3"/>
        <v>8</v>
      </c>
      <c r="O52" s="7"/>
      <c r="P52" s="12">
        <f t="array" ref="P52">SUM(IF(Discs!B46:B332&lt;&gt;D52,0,IF(LEFT(Discs!K46:K332,5)&lt;&gt;"Ship-",0,1)))</f>
        <v>0</v>
      </c>
      <c r="Q52" s="12">
        <f t="array" ref="Q52">SUM(IF(Discs!B46:B332&lt;&gt;D52,0,IF(Discs!K46:K332&lt;&gt;"Crew",0,1)))</f>
        <v>0</v>
      </c>
      <c r="R52" s="12">
        <f t="array" ref="R52">SUM(IF(Discs!B46:B332&lt;&gt;D52,0,IF(Discs!K46:K332&lt;&gt;"Upgrade",0,1)))</f>
        <v>0</v>
      </c>
      <c r="S52" s="12">
        <f t="array" ref="S52">SUM(IF(Discs!B46:B332&lt;&gt;D52,0,IF(Discs!K46:K332&lt;&gt;"Personal",0,1)))</f>
        <v>0</v>
      </c>
      <c r="T52" s="7">
        <f t="array" ref="T52">SUM(IF(Discs!B46:B332&lt;&gt;D52,0,IF(Discs!K46:K332&lt;&gt;"Scenario",0,1)))</f>
        <v>1</v>
      </c>
      <c r="U52" s="7">
        <f t="shared" si="2"/>
        <v>1</v>
      </c>
      <c r="V52" s="12">
        <v>0</v>
      </c>
      <c r="W52" s="12">
        <v>2</v>
      </c>
      <c r="X52" s="12">
        <v>0</v>
      </c>
      <c r="Z52" s="13" t="s">
        <v>202</v>
      </c>
      <c r="AA52" s="12" t="s">
        <v>245</v>
      </c>
      <c r="AB52" s="4" t="s">
        <v>246</v>
      </c>
      <c r="AC52" s="7">
        <v>130</v>
      </c>
    </row>
    <row r="53" spans="1:35" ht="12" customHeight="1" x14ac:dyDescent="0.15">
      <c r="A53" s="7"/>
      <c r="B53" s="13"/>
      <c r="D53" s="7">
        <v>152</v>
      </c>
      <c r="E53" s="7" t="s">
        <v>17</v>
      </c>
      <c r="F53" s="13"/>
      <c r="G53" s="7" t="s">
        <v>22</v>
      </c>
      <c r="H53" s="12" t="s">
        <v>577</v>
      </c>
      <c r="I53" s="7">
        <v>9</v>
      </c>
      <c r="J53" s="13">
        <v>3</v>
      </c>
      <c r="K53" s="336">
        <v>6</v>
      </c>
      <c r="L53" s="13" t="str">
        <f t="shared" si="1"/>
        <v/>
      </c>
      <c r="M53" s="12">
        <v>1</v>
      </c>
      <c r="N53" s="7">
        <f t="shared" si="3"/>
        <v>10</v>
      </c>
      <c r="O53" s="7"/>
      <c r="P53" s="12">
        <f t="array" ref="P53">SUM(IF(Discs!B47:B333&lt;&gt;D53,0,IF(LEFT(Discs!K47:K333,5)&lt;&gt;"Ship-",0,1)))</f>
        <v>0</v>
      </c>
      <c r="Q53" s="12">
        <f t="array" ref="Q53">SUM(IF(Discs!B47:B333&lt;&gt;D53,0,IF(Discs!K47:K333&lt;&gt;"Crew",0,1)))</f>
        <v>0</v>
      </c>
      <c r="R53" s="12">
        <f t="array" ref="R53">SUM(IF(Discs!B47:B333&lt;&gt;D53,0,IF(Discs!K47:K333&lt;&gt;"Upgrade",0,1)))</f>
        <v>0</v>
      </c>
      <c r="S53" s="12">
        <f t="array" ref="S53">SUM(IF(Discs!B47:B333&lt;&gt;D53,0,IF(Discs!K47:K333&lt;&gt;"Personal",0,1)))</f>
        <v>0</v>
      </c>
      <c r="T53" s="7">
        <f t="array" ref="T53">SUM(IF(Discs!B47:B333&lt;&gt;D53,0,IF(Discs!K47:K333&lt;&gt;"Scenario",0,1)))</f>
        <v>1</v>
      </c>
      <c r="U53" s="7">
        <f t="shared" si="2"/>
        <v>1</v>
      </c>
      <c r="V53" s="12">
        <v>0</v>
      </c>
      <c r="W53" s="12">
        <v>2</v>
      </c>
      <c r="X53" s="12">
        <v>0</v>
      </c>
      <c r="Z53" s="13" t="s">
        <v>202</v>
      </c>
      <c r="AA53" s="12" t="s">
        <v>245</v>
      </c>
      <c r="AB53" s="4" t="s">
        <v>246</v>
      </c>
      <c r="AC53" s="12">
        <v>180</v>
      </c>
    </row>
    <row r="54" spans="1:35" ht="12" customHeight="1" x14ac:dyDescent="0.15">
      <c r="A54" s="7"/>
      <c r="D54" s="7">
        <v>153</v>
      </c>
      <c r="E54" s="7" t="s">
        <v>17</v>
      </c>
      <c r="F54" s="13"/>
      <c r="G54" s="13" t="s">
        <v>434</v>
      </c>
      <c r="H54" s="7" t="s">
        <v>30</v>
      </c>
      <c r="I54" s="7">
        <v>10</v>
      </c>
      <c r="J54" s="13">
        <v>3</v>
      </c>
      <c r="K54" s="336">
        <v>7</v>
      </c>
      <c r="L54" s="13" t="str">
        <f t="shared" si="1"/>
        <v/>
      </c>
      <c r="M54" s="12">
        <v>2</v>
      </c>
      <c r="N54" s="7">
        <f t="shared" si="3"/>
        <v>12</v>
      </c>
      <c r="O54" s="7"/>
      <c r="P54" s="12">
        <f t="array" ref="P54">SUM(IF(Discs!B48:B334&lt;&gt;D54,0,IF(LEFT(Discs!K48:K334,5)&lt;&gt;"Ship-",0,1)))</f>
        <v>0</v>
      </c>
      <c r="Q54" s="12">
        <f t="array" ref="Q54">SUM(IF(Discs!B48:B334&lt;&gt;D54,0,IF(Discs!K48:K334&lt;&gt;"Crew",0,1)))</f>
        <v>2</v>
      </c>
      <c r="R54" s="12">
        <f t="array" ref="R54">SUM(IF(Discs!B48:B334&lt;&gt;D54,0,IF(Discs!K48:K334&lt;&gt;"Upgrade",0,1)))</f>
        <v>2</v>
      </c>
      <c r="S54" s="12">
        <f t="array" ref="S54">SUM(IF(Discs!B48:B334&lt;&gt;D54,0,IF(Discs!K48:K334&lt;&gt;"Personal",0,1)))</f>
        <v>0</v>
      </c>
      <c r="T54" s="7">
        <f t="array" ref="T54">SUM(IF(Discs!B48:B334&lt;&gt;D54,0,IF(Discs!K48:K334&lt;&gt;"Scenario",0,1)))</f>
        <v>0</v>
      </c>
      <c r="U54" s="7">
        <f t="shared" si="2"/>
        <v>4</v>
      </c>
      <c r="V54" s="12">
        <v>0</v>
      </c>
      <c r="W54" s="12">
        <v>0</v>
      </c>
      <c r="X54" s="12">
        <v>0</v>
      </c>
      <c r="Z54" s="8"/>
      <c r="AA54" s="8"/>
      <c r="AB54" s="8"/>
      <c r="AC54" s="8"/>
    </row>
    <row r="55" spans="1:35" x14ac:dyDescent="0.15">
      <c r="A55" s="7"/>
      <c r="C55" s="12"/>
      <c r="D55" s="7">
        <v>154</v>
      </c>
      <c r="E55" s="7" t="s">
        <v>17</v>
      </c>
      <c r="F55" s="13"/>
      <c r="G55" s="13" t="s">
        <v>434</v>
      </c>
      <c r="H55" s="7" t="s">
        <v>26</v>
      </c>
      <c r="I55" s="7">
        <v>9</v>
      </c>
      <c r="J55" s="13">
        <v>3</v>
      </c>
      <c r="K55" s="336">
        <v>6</v>
      </c>
      <c r="L55" s="13" t="str">
        <f t="shared" si="1"/>
        <v/>
      </c>
      <c r="M55" s="12">
        <v>1</v>
      </c>
      <c r="N55" s="7">
        <f t="shared" si="3"/>
        <v>10</v>
      </c>
      <c r="O55" s="7"/>
      <c r="P55" s="12">
        <f t="array" ref="P55">SUM(IF(Discs!B49:B335&lt;&gt;D55,0,IF(LEFT(Discs!K49:K335,5)&lt;&gt;"Ship-",0,1)))</f>
        <v>0</v>
      </c>
      <c r="Q55" s="12">
        <f t="array" ref="Q55">SUM(IF(Discs!B49:B335&lt;&gt;D55,0,IF(Discs!K49:K335&lt;&gt;"Crew",0,1)))</f>
        <v>2</v>
      </c>
      <c r="R55" s="12">
        <f t="array" ref="R55">SUM(IF(Discs!B49:B335&lt;&gt;D55,0,IF(Discs!K49:K335&lt;&gt;"Upgrade",0,1)))</f>
        <v>2</v>
      </c>
      <c r="S55" s="12">
        <f t="array" ref="S55">SUM(IF(Discs!B49:B335&lt;&gt;D55,0,IF(Discs!K49:K335&lt;&gt;"Personal",0,1)))</f>
        <v>0</v>
      </c>
      <c r="T55" s="7">
        <f t="array" ref="T55">SUM(IF(Discs!B49:B335&lt;&gt;D55,0,IF(Discs!K49:K335&lt;&gt;"Scenario",0,1)))</f>
        <v>0</v>
      </c>
      <c r="U55" s="7">
        <f t="shared" si="2"/>
        <v>4</v>
      </c>
      <c r="V55" s="12">
        <v>0</v>
      </c>
      <c r="W55" s="12">
        <v>0</v>
      </c>
      <c r="X55" s="12">
        <v>0</v>
      </c>
      <c r="Z55" s="8"/>
      <c r="AA55" s="8"/>
      <c r="AB55" s="8"/>
      <c r="AC55" s="8"/>
    </row>
    <row r="56" spans="1:35" x14ac:dyDescent="0.15">
      <c r="A56" s="7"/>
      <c r="D56" s="7">
        <v>155</v>
      </c>
      <c r="E56" s="7" t="s">
        <v>17</v>
      </c>
      <c r="F56" s="13"/>
      <c r="G56" s="13" t="s">
        <v>434</v>
      </c>
      <c r="H56" s="7" t="s">
        <v>68</v>
      </c>
      <c r="I56" s="7">
        <v>4</v>
      </c>
      <c r="J56" s="13">
        <v>3</v>
      </c>
      <c r="K56" s="336">
        <v>1</v>
      </c>
      <c r="L56" s="13" t="str">
        <f t="shared" si="1"/>
        <v/>
      </c>
      <c r="M56" s="12">
        <v>1</v>
      </c>
      <c r="N56" s="7">
        <f t="shared" si="3"/>
        <v>5</v>
      </c>
      <c r="O56" s="7"/>
      <c r="P56" s="12">
        <f t="array" ref="P56">SUM(IF(Discs!B50:B336&lt;&gt;D56,0,IF(LEFT(Discs!K50:K336,5)&lt;&gt;"Ship-",0,1)))</f>
        <v>0</v>
      </c>
      <c r="Q56" s="12">
        <f t="array" ref="Q56">SUM(IF(Discs!B50:B336&lt;&gt;D56,0,IF(Discs!K50:K336&lt;&gt;"Crew",0,1)))</f>
        <v>2</v>
      </c>
      <c r="R56" s="12">
        <f t="array" ref="R56">SUM(IF(Discs!B50:B336&lt;&gt;D56,0,IF(Discs!K50:K336&lt;&gt;"Upgrade",0,1)))</f>
        <v>2</v>
      </c>
      <c r="S56" s="12">
        <f t="array" ref="S56">SUM(IF(Discs!B50:B336&lt;&gt;D56,0,IF(Discs!K50:K336&lt;&gt;"Personal",0,1)))</f>
        <v>0</v>
      </c>
      <c r="T56" s="7">
        <f t="array" ref="T56">SUM(IF(Discs!B50:B336&lt;&gt;D56,0,IF(Discs!K50:K336&lt;&gt;"Scenario",0,1)))</f>
        <v>0</v>
      </c>
      <c r="U56" s="7">
        <f t="shared" si="2"/>
        <v>4</v>
      </c>
      <c r="V56" s="12">
        <v>0</v>
      </c>
      <c r="W56" s="12">
        <v>0</v>
      </c>
      <c r="X56" s="12">
        <v>0</v>
      </c>
      <c r="Z56" s="8"/>
      <c r="AA56" s="8"/>
      <c r="AB56" s="8"/>
      <c r="AC56" s="8"/>
    </row>
    <row r="57" spans="1:35" s="10" customFormat="1" x14ac:dyDescent="0.15">
      <c r="A57" s="7"/>
      <c r="B57" s="13"/>
      <c r="C57" s="13"/>
      <c r="D57" s="7">
        <v>156</v>
      </c>
      <c r="E57" s="7" t="s">
        <v>17</v>
      </c>
      <c r="F57" s="13"/>
      <c r="G57" s="13" t="s">
        <v>434</v>
      </c>
      <c r="H57" s="7" t="s">
        <v>33</v>
      </c>
      <c r="I57" s="7">
        <v>9</v>
      </c>
      <c r="J57" s="13">
        <v>3</v>
      </c>
      <c r="K57" s="336">
        <v>6</v>
      </c>
      <c r="L57" s="13" t="str">
        <f t="shared" si="1"/>
        <v/>
      </c>
      <c r="M57" s="12">
        <v>1</v>
      </c>
      <c r="N57" s="7">
        <f t="shared" si="3"/>
        <v>10</v>
      </c>
      <c r="O57" s="7"/>
      <c r="P57" s="12">
        <f t="array" ref="P57">SUM(IF(Discs!B51:B337&lt;&gt;D57,0,IF(LEFT(Discs!K51:K337,5)&lt;&gt;"Ship-",0,1)))</f>
        <v>0</v>
      </c>
      <c r="Q57" s="12">
        <f t="array" ref="Q57">SUM(IF(Discs!B51:B337&lt;&gt;D57,0,IF(Discs!K51:K337&lt;&gt;"Crew",0,1)))</f>
        <v>3</v>
      </c>
      <c r="R57" s="12">
        <f t="array" ref="R57">SUM(IF(Discs!B51:B337&lt;&gt;D57,0,IF(Discs!K51:K337&lt;&gt;"Upgrade",0,1)))</f>
        <v>1</v>
      </c>
      <c r="S57" s="12">
        <f t="array" ref="S57">SUM(IF(Discs!B51:B337&lt;&gt;D57,0,IF(Discs!K51:K337&lt;&gt;"Personal",0,1)))</f>
        <v>0</v>
      </c>
      <c r="T57" s="7">
        <f t="array" ref="T57">SUM(IF(Discs!B51:B337&lt;&gt;D57,0,IF(Discs!K51:K337&lt;&gt;"Scenario",0,1)))</f>
        <v>0</v>
      </c>
      <c r="U57" s="7">
        <f t="shared" si="2"/>
        <v>4</v>
      </c>
      <c r="V57" s="12">
        <v>0</v>
      </c>
      <c r="W57" s="12">
        <v>0</v>
      </c>
      <c r="X57" s="12">
        <v>0</v>
      </c>
      <c r="Y57" s="8"/>
      <c r="Z57" s="8"/>
      <c r="AA57" s="8"/>
      <c r="AB57" s="8"/>
      <c r="AC57" s="8"/>
      <c r="AD57" s="8"/>
      <c r="AE57" s="8"/>
      <c r="AF57" s="8"/>
      <c r="AG57" s="8"/>
      <c r="AH57" s="8"/>
      <c r="AI57" s="8"/>
    </row>
    <row r="58" spans="1:35" s="10" customFormat="1" ht="12" customHeight="1" x14ac:dyDescent="0.15">
      <c r="A58" s="7"/>
      <c r="B58" s="7"/>
      <c r="C58" s="12"/>
      <c r="D58" s="7">
        <v>157</v>
      </c>
      <c r="E58" s="7" t="s">
        <v>17</v>
      </c>
      <c r="F58" s="13"/>
      <c r="G58" s="13" t="s">
        <v>434</v>
      </c>
      <c r="H58" s="7" t="s">
        <v>30</v>
      </c>
      <c r="I58" s="7">
        <v>10</v>
      </c>
      <c r="J58" s="13">
        <v>3</v>
      </c>
      <c r="K58" s="336">
        <v>7</v>
      </c>
      <c r="L58" s="13" t="str">
        <f t="shared" si="1"/>
        <v/>
      </c>
      <c r="M58" s="12">
        <v>1</v>
      </c>
      <c r="N58" s="7">
        <f t="shared" si="3"/>
        <v>11</v>
      </c>
      <c r="O58" s="7"/>
      <c r="P58" s="12">
        <f t="array" ref="P58">SUM(IF(Discs!B52:B338&lt;&gt;D58,0,IF(LEFT(Discs!K52:K338,5)&lt;&gt;"Ship-",0,1)))</f>
        <v>0</v>
      </c>
      <c r="Q58" s="12">
        <f t="array" ref="Q58">SUM(IF(Discs!B52:B338&lt;&gt;D58,0,IF(Discs!K52:K338&lt;&gt;"Crew",0,1)))</f>
        <v>3</v>
      </c>
      <c r="R58" s="12">
        <f t="array" ref="R58">SUM(IF(Discs!B52:B338&lt;&gt;D58,0,IF(Discs!K52:K338&lt;&gt;"Upgrade",0,1)))</f>
        <v>1</v>
      </c>
      <c r="S58" s="12">
        <f t="array" ref="S58">SUM(IF(Discs!B52:B338&lt;&gt;D58,0,IF(Discs!K52:K338&lt;&gt;"Personal",0,1)))</f>
        <v>0</v>
      </c>
      <c r="T58" s="7">
        <f t="array" ref="T58">SUM(IF(Discs!B52:B338&lt;&gt;D58,0,IF(Discs!K52:K338&lt;&gt;"Scenario",0,1)))</f>
        <v>0</v>
      </c>
      <c r="U58" s="7">
        <f t="shared" si="2"/>
        <v>4</v>
      </c>
      <c r="V58" s="12">
        <v>0</v>
      </c>
      <c r="W58" s="12">
        <v>0</v>
      </c>
      <c r="X58" s="12">
        <v>0</v>
      </c>
      <c r="Y58" s="8"/>
      <c r="Z58" s="8"/>
      <c r="AA58" s="8"/>
      <c r="AB58" s="8"/>
      <c r="AC58" s="8"/>
      <c r="AD58" s="8"/>
      <c r="AE58" s="8"/>
      <c r="AF58" s="8"/>
      <c r="AG58" s="8"/>
      <c r="AH58" s="8"/>
      <c r="AI58" s="8"/>
    </row>
    <row r="59" spans="1:35" s="10" customFormat="1" ht="12" customHeight="1" x14ac:dyDescent="0.15">
      <c r="A59" s="7"/>
      <c r="B59" s="12"/>
      <c r="C59" s="7"/>
      <c r="D59" s="7">
        <v>158</v>
      </c>
      <c r="E59" s="7" t="s">
        <v>17</v>
      </c>
      <c r="F59" s="13"/>
      <c r="G59" s="13" t="s">
        <v>434</v>
      </c>
      <c r="H59" s="7" t="s">
        <v>26</v>
      </c>
      <c r="I59" s="7">
        <v>5</v>
      </c>
      <c r="J59" s="13">
        <v>3</v>
      </c>
      <c r="K59" s="336">
        <v>2</v>
      </c>
      <c r="L59" s="13" t="str">
        <f t="shared" si="1"/>
        <v/>
      </c>
      <c r="M59" s="12">
        <v>0</v>
      </c>
      <c r="N59" s="7">
        <f t="shared" si="3"/>
        <v>5</v>
      </c>
      <c r="O59" s="7"/>
      <c r="P59" s="12">
        <f t="array" ref="P59">SUM(IF(Discs!B53:B339&lt;&gt;D59,0,IF(LEFT(Discs!K53:K339,5)&lt;&gt;"Ship-",0,1)))</f>
        <v>0</v>
      </c>
      <c r="Q59" s="12">
        <f t="array" ref="Q59">SUM(IF(Discs!B53:B339&lt;&gt;D59,0,IF(Discs!K53:K339&lt;&gt;"Crew",0,1)))</f>
        <v>3</v>
      </c>
      <c r="R59" s="12">
        <f t="array" ref="R59">SUM(IF(Discs!B53:B339&lt;&gt;D59,0,IF(Discs!K53:K339&lt;&gt;"Upgrade",0,1)))</f>
        <v>1</v>
      </c>
      <c r="S59" s="12">
        <f t="array" ref="S59">SUM(IF(Discs!B53:B339&lt;&gt;D59,0,IF(Discs!K53:K339&lt;&gt;"Personal",0,1)))</f>
        <v>0</v>
      </c>
      <c r="T59" s="7">
        <f t="array" ref="T59">SUM(IF(Discs!B53:B339&lt;&gt;D59,0,IF(Discs!K53:K339&lt;&gt;"Scenario",0,1)))</f>
        <v>0</v>
      </c>
      <c r="U59" s="7">
        <f t="shared" si="2"/>
        <v>4</v>
      </c>
      <c r="V59" s="12">
        <v>0</v>
      </c>
      <c r="W59" s="12">
        <v>0</v>
      </c>
      <c r="X59" s="12">
        <v>0</v>
      </c>
      <c r="Y59" s="8"/>
      <c r="Z59" s="8"/>
      <c r="AA59" s="8"/>
      <c r="AB59" s="8"/>
      <c r="AC59" s="8"/>
      <c r="AD59" s="8"/>
      <c r="AE59" s="8"/>
      <c r="AF59" s="8"/>
      <c r="AG59" s="8"/>
      <c r="AH59" s="8"/>
      <c r="AI59" s="8"/>
    </row>
    <row r="60" spans="1:35" s="10" customFormat="1" x14ac:dyDescent="0.15">
      <c r="A60" s="7"/>
      <c r="B60" s="12"/>
      <c r="C60" s="12"/>
      <c r="D60" s="7">
        <v>159</v>
      </c>
      <c r="E60" s="7" t="s">
        <v>17</v>
      </c>
      <c r="F60" s="13"/>
      <c r="G60" s="13" t="s">
        <v>434</v>
      </c>
      <c r="H60" s="7" t="s">
        <v>68</v>
      </c>
      <c r="I60" s="7">
        <v>6</v>
      </c>
      <c r="J60" s="13">
        <v>3</v>
      </c>
      <c r="K60" s="336">
        <v>3</v>
      </c>
      <c r="L60" s="13" t="str">
        <f t="shared" si="1"/>
        <v/>
      </c>
      <c r="M60" s="12">
        <v>2</v>
      </c>
      <c r="N60" s="7">
        <f t="shared" si="3"/>
        <v>8</v>
      </c>
      <c r="O60" s="7"/>
      <c r="P60" s="12">
        <f t="array" ref="P60">SUM(IF(Discs!B54:B340&lt;&gt;D60,0,IF(LEFT(Discs!K54:K340,5)&lt;&gt;"Ship-",0,1)))</f>
        <v>0</v>
      </c>
      <c r="Q60" s="12">
        <f t="array" ref="Q60">SUM(IF(Discs!B54:B340&lt;&gt;D60,0,IF(Discs!K54:K340&lt;&gt;"Crew",0,1)))</f>
        <v>3</v>
      </c>
      <c r="R60" s="12">
        <f t="array" ref="R60">SUM(IF(Discs!B54:B340&lt;&gt;D60,0,IF(Discs!K54:K340&lt;&gt;"Upgrade",0,1)))</f>
        <v>1</v>
      </c>
      <c r="S60" s="12">
        <f t="array" ref="S60">SUM(IF(Discs!B54:B340&lt;&gt;D60,0,IF(Discs!K54:K340&lt;&gt;"Personal",0,1)))</f>
        <v>0</v>
      </c>
      <c r="T60" s="7">
        <f t="array" ref="T60">SUM(IF(Discs!B54:B340&lt;&gt;D60,0,IF(Discs!K54:K340&lt;&gt;"Scenario",0,1)))</f>
        <v>0</v>
      </c>
      <c r="U60" s="7">
        <f t="shared" si="2"/>
        <v>4</v>
      </c>
      <c r="V60" s="14">
        <v>0</v>
      </c>
      <c r="W60" s="14">
        <v>0</v>
      </c>
      <c r="X60" s="14">
        <v>0</v>
      </c>
      <c r="Y60" s="8"/>
      <c r="Z60" s="8"/>
      <c r="AA60" s="8"/>
      <c r="AB60" s="8"/>
      <c r="AC60" s="8"/>
      <c r="AD60" s="8"/>
      <c r="AE60" s="8"/>
      <c r="AF60" s="8"/>
      <c r="AG60" s="8"/>
      <c r="AH60" s="8"/>
      <c r="AI60" s="8"/>
    </row>
    <row r="61" spans="1:35" ht="12" customHeight="1" x14ac:dyDescent="0.15">
      <c r="A61" s="7"/>
      <c r="B61" s="13"/>
      <c r="C61" s="13"/>
      <c r="D61" s="7">
        <v>160</v>
      </c>
      <c r="E61" s="7" t="s">
        <v>17</v>
      </c>
      <c r="F61" s="13"/>
      <c r="G61" s="13" t="s">
        <v>434</v>
      </c>
      <c r="H61" s="7" t="s">
        <v>3</v>
      </c>
      <c r="I61" s="7">
        <v>3</v>
      </c>
      <c r="J61" s="13">
        <v>3</v>
      </c>
      <c r="K61" s="336">
        <v>0</v>
      </c>
      <c r="L61" s="13" t="str">
        <f t="shared" si="1"/>
        <v/>
      </c>
      <c r="M61" s="12">
        <v>1</v>
      </c>
      <c r="N61" s="7">
        <f t="shared" si="3"/>
        <v>4</v>
      </c>
      <c r="O61" s="7"/>
      <c r="P61" s="12">
        <f t="array" ref="P61">SUM(IF(Discs!B55:B341&lt;&gt;D61,0,IF(LEFT(Discs!K55:K341,5)&lt;&gt;"Ship-",0,1)))</f>
        <v>0</v>
      </c>
      <c r="Q61" s="12">
        <f t="array" ref="Q61">SUM(IF(Discs!B55:B341&lt;&gt;D61,0,IF(Discs!K55:K341&lt;&gt;"Crew",0,1)))</f>
        <v>3</v>
      </c>
      <c r="R61" s="12">
        <f t="array" ref="R61">SUM(IF(Discs!B55:B341&lt;&gt;D61,0,IF(Discs!K55:K341&lt;&gt;"Upgrade",0,1)))</f>
        <v>1</v>
      </c>
      <c r="S61" s="12">
        <f t="array" ref="S61">SUM(IF(Discs!B55:B341&lt;&gt;D61,0,IF(Discs!K55:K341&lt;&gt;"Personal",0,1)))</f>
        <v>0</v>
      </c>
      <c r="T61" s="7">
        <f t="array" ref="T61">SUM(IF(Discs!B55:B341&lt;&gt;D61,0,IF(Discs!K55:K341&lt;&gt;"Scenario",0,1)))</f>
        <v>0</v>
      </c>
      <c r="U61" s="7">
        <f t="shared" si="2"/>
        <v>4</v>
      </c>
      <c r="V61" s="14">
        <v>0</v>
      </c>
      <c r="W61" s="14">
        <v>0</v>
      </c>
      <c r="X61" s="14">
        <v>0</v>
      </c>
      <c r="Z61" s="8"/>
      <c r="AA61" s="8"/>
      <c r="AB61" s="8"/>
      <c r="AC61" s="8"/>
    </row>
    <row r="62" spans="1:35" ht="12" customHeight="1" x14ac:dyDescent="0.15">
      <c r="A62" s="7"/>
      <c r="B62" s="12"/>
      <c r="D62" s="7">
        <v>161</v>
      </c>
      <c r="E62" s="12" t="s">
        <v>436</v>
      </c>
      <c r="F62" s="13" t="s">
        <v>4</v>
      </c>
      <c r="G62" s="12" t="s">
        <v>433</v>
      </c>
      <c r="H62" s="7" t="s">
        <v>30</v>
      </c>
      <c r="I62" s="7">
        <v>4</v>
      </c>
      <c r="J62" s="13">
        <v>3</v>
      </c>
      <c r="K62" s="336">
        <v>1</v>
      </c>
      <c r="L62" s="13" t="str">
        <f t="shared" si="1"/>
        <v/>
      </c>
      <c r="M62" s="12">
        <v>2</v>
      </c>
      <c r="N62" s="7">
        <f t="shared" si="3"/>
        <v>6</v>
      </c>
      <c r="O62" s="7"/>
      <c r="P62" s="12">
        <f t="array" ref="P62">SUM(IF(Discs!B56:B342&lt;&gt;D62,0,IF(LEFT(Discs!K56:K342,5)&lt;&gt;"Ship-",0,1)))</f>
        <v>1</v>
      </c>
      <c r="Q62" s="12">
        <f t="array" ref="Q62">SUM(IF(Discs!B56:B342&lt;&gt;D62,0,IF(Discs!K56:K342&lt;&gt;"Crew",0,1)))</f>
        <v>1</v>
      </c>
      <c r="R62" s="12">
        <f t="array" ref="R62">SUM(IF(Discs!B56:B342&lt;&gt;D62,0,IF(Discs!K56:K342&lt;&gt;"Upgrade",0,1)))</f>
        <v>1</v>
      </c>
      <c r="S62" s="12">
        <f t="array" ref="S62">SUM(IF(Discs!B56:B342&lt;&gt;D62,0,IF(Discs!K56:K342&lt;&gt;"Personal",0,1)))</f>
        <v>0</v>
      </c>
      <c r="T62" s="7">
        <f t="array" ref="T62">SUM(IF(Discs!B56:B342&lt;&gt;D62,0,IF(Discs!K56:K342&lt;&gt;"Scenario",0,1)))</f>
        <v>0</v>
      </c>
      <c r="U62" s="7">
        <f t="shared" si="2"/>
        <v>3</v>
      </c>
      <c r="V62" s="14">
        <v>3</v>
      </c>
      <c r="W62" s="14">
        <v>0</v>
      </c>
      <c r="X62" s="14">
        <v>0</v>
      </c>
      <c r="Z62" s="8"/>
      <c r="AA62" s="8"/>
      <c r="AB62" s="8"/>
      <c r="AC62" s="8"/>
    </row>
    <row r="63" spans="1:35" ht="12" customHeight="1" x14ac:dyDescent="0.15">
      <c r="A63" s="7"/>
      <c r="B63" s="12"/>
      <c r="D63" s="7">
        <v>162</v>
      </c>
      <c r="E63" s="12" t="s">
        <v>436</v>
      </c>
      <c r="F63" s="13"/>
      <c r="G63" s="13" t="s">
        <v>434</v>
      </c>
      <c r="H63" s="7" t="s">
        <v>30</v>
      </c>
      <c r="I63" s="7">
        <v>5</v>
      </c>
      <c r="J63" s="13">
        <v>3</v>
      </c>
      <c r="K63" s="336">
        <v>2</v>
      </c>
      <c r="L63" s="13" t="str">
        <f t="shared" si="1"/>
        <v/>
      </c>
      <c r="M63" s="12">
        <v>2</v>
      </c>
      <c r="N63" s="7">
        <f t="shared" si="3"/>
        <v>7</v>
      </c>
      <c r="O63" s="7"/>
      <c r="P63" s="12">
        <f t="array" ref="P63">SUM(IF(Discs!B57:B343&lt;&gt;D63,0,IF(LEFT(Discs!K57:K343,5)&lt;&gt;"Ship-",0,1)))</f>
        <v>0</v>
      </c>
      <c r="Q63" s="12">
        <f t="array" ref="Q63">SUM(IF(Discs!B57:B343&lt;&gt;D63,0,IF(Discs!K57:K343&lt;&gt;"Crew",0,1)))</f>
        <v>3</v>
      </c>
      <c r="R63" s="12">
        <f t="array" ref="R63">SUM(IF(Discs!B57:B343&lt;&gt;D63,0,IF(Discs!K57:K343&lt;&gt;"Upgrade",0,1)))</f>
        <v>1</v>
      </c>
      <c r="S63" s="12">
        <f t="array" ref="S63">SUM(IF(Discs!B57:B343&lt;&gt;D63,0,IF(Discs!K57:K343&lt;&gt;"Personal",0,1)))</f>
        <v>0</v>
      </c>
      <c r="T63" s="7">
        <f t="array" ref="T63">SUM(IF(Discs!B57:B343&lt;&gt;D63,0,IF(Discs!K57:K343&lt;&gt;"Scenario",0,1)))</f>
        <v>0</v>
      </c>
      <c r="U63" s="7">
        <f t="shared" si="2"/>
        <v>4</v>
      </c>
      <c r="V63" s="14">
        <v>0</v>
      </c>
      <c r="W63" s="14">
        <v>0</v>
      </c>
      <c r="X63" s="14">
        <v>0</v>
      </c>
      <c r="Z63" s="8"/>
      <c r="AA63" s="8"/>
      <c r="AB63" s="8"/>
      <c r="AC63" s="8"/>
    </row>
    <row r="64" spans="1:35" ht="12" customHeight="1" x14ac:dyDescent="0.15">
      <c r="A64" s="7"/>
      <c r="B64" s="12"/>
      <c r="C64" s="12"/>
      <c r="D64" s="7">
        <v>163</v>
      </c>
      <c r="E64" s="12" t="s">
        <v>436</v>
      </c>
      <c r="F64" s="13"/>
      <c r="G64" s="7" t="s">
        <v>22</v>
      </c>
      <c r="H64" s="12" t="s">
        <v>30</v>
      </c>
      <c r="I64" s="7">
        <v>7</v>
      </c>
      <c r="J64" s="13">
        <v>3</v>
      </c>
      <c r="K64" s="336">
        <v>4</v>
      </c>
      <c r="L64" s="13" t="str">
        <f t="shared" si="1"/>
        <v/>
      </c>
      <c r="M64" s="12">
        <v>1</v>
      </c>
      <c r="N64" s="7">
        <f t="shared" si="3"/>
        <v>8</v>
      </c>
      <c r="O64" s="7"/>
      <c r="P64" s="12">
        <f t="array" ref="P64">SUM(IF(Discs!B58:B344&lt;&gt;D64,0,IF(LEFT(Discs!K58:K344,5)&lt;&gt;"Ship-",0,1)))</f>
        <v>0</v>
      </c>
      <c r="Q64" s="12">
        <f t="array" ref="Q64">SUM(IF(Discs!B58:B344&lt;&gt;D64,0,IF(Discs!K58:K344&lt;&gt;"Crew",0,1)))</f>
        <v>0</v>
      </c>
      <c r="R64" s="12">
        <f t="array" ref="R64">SUM(IF(Discs!B58:B344&lt;&gt;D64,0,IF(Discs!K58:K344&lt;&gt;"Upgrade",0,1)))</f>
        <v>0</v>
      </c>
      <c r="S64" s="12">
        <f t="array" ref="S64">SUM(IF(Discs!B58:B344&lt;&gt;D64,0,IF(Discs!K58:K344&lt;&gt;"Personal",0,1)))</f>
        <v>0</v>
      </c>
      <c r="T64" s="7">
        <f t="array" ref="T64">SUM(IF(Discs!B58:B344&lt;&gt;D64,0,IF(Discs!K58:K344&lt;&gt;"Scenario",0,1)))</f>
        <v>1</v>
      </c>
      <c r="U64" s="7">
        <f t="shared" si="2"/>
        <v>1</v>
      </c>
      <c r="V64" s="14">
        <v>0</v>
      </c>
      <c r="W64" s="14">
        <v>2</v>
      </c>
      <c r="X64" s="14">
        <v>0</v>
      </c>
      <c r="Z64" s="12">
        <v>2</v>
      </c>
      <c r="AA64" s="13" t="s">
        <v>247</v>
      </c>
      <c r="AB64" s="4" t="s">
        <v>249</v>
      </c>
      <c r="AC64" s="7">
        <v>80</v>
      </c>
    </row>
    <row r="65" spans="1:29" ht="12" customHeight="1" x14ac:dyDescent="0.15">
      <c r="A65" s="7"/>
      <c r="B65" s="12"/>
      <c r="D65" s="7">
        <v>164</v>
      </c>
      <c r="E65" s="12" t="s">
        <v>436</v>
      </c>
      <c r="F65" s="13"/>
      <c r="G65" s="7" t="s">
        <v>402</v>
      </c>
      <c r="H65" s="12" t="s">
        <v>30</v>
      </c>
      <c r="I65" s="7">
        <v>3</v>
      </c>
      <c r="J65" s="13">
        <v>3</v>
      </c>
      <c r="K65" s="336">
        <v>0</v>
      </c>
      <c r="L65" s="13" t="str">
        <f t="shared" si="1"/>
        <v/>
      </c>
      <c r="M65" s="12">
        <v>1</v>
      </c>
      <c r="N65" s="7">
        <f t="shared" si="3"/>
        <v>4</v>
      </c>
      <c r="O65" s="7"/>
      <c r="P65" s="12">
        <f t="array" ref="P65">SUM(IF(Discs!B59:B345&lt;&gt;D65,0,IF(LEFT(Discs!K59:K345,5)&lt;&gt;"Ship-",0,1)))</f>
        <v>0</v>
      </c>
      <c r="Q65" s="12">
        <f t="array" ref="Q65">SUM(IF(Discs!B59:B345&lt;&gt;D65,0,IF(Discs!K59:K345&lt;&gt;"Crew",0,1)))</f>
        <v>0</v>
      </c>
      <c r="R65" s="12">
        <f t="array" ref="R65">SUM(IF(Discs!B59:B345&lt;&gt;D65,0,IF(Discs!K59:K345&lt;&gt;"Upgrade",0,1)))</f>
        <v>0</v>
      </c>
      <c r="S65" s="12">
        <f t="array" ref="S65">SUM(IF(Discs!B59:B345&lt;&gt;D65,0,IF(Discs!K59:K345&lt;&gt;"Personal",0,1)))</f>
        <v>0</v>
      </c>
      <c r="T65" s="7">
        <f t="array" ref="T65">SUM(IF(Discs!B59:B345&lt;&gt;D65,0,IF(Discs!K59:K345&lt;&gt;"Scenario",0,1)))</f>
        <v>0</v>
      </c>
      <c r="U65" s="7">
        <f t="shared" si="2"/>
        <v>0</v>
      </c>
      <c r="V65" s="14">
        <v>4</v>
      </c>
      <c r="W65" s="14">
        <v>0</v>
      </c>
      <c r="X65" s="14">
        <v>0</v>
      </c>
      <c r="Z65" s="8"/>
      <c r="AA65" s="8"/>
      <c r="AB65" s="8"/>
      <c r="AC65" s="8"/>
    </row>
    <row r="66" spans="1:29" ht="12" customHeight="1" x14ac:dyDescent="0.15">
      <c r="A66" s="7"/>
      <c r="B66" s="12"/>
      <c r="D66" s="7">
        <v>165</v>
      </c>
      <c r="E66" s="12" t="s">
        <v>436</v>
      </c>
      <c r="F66" s="13"/>
      <c r="G66" s="7" t="s">
        <v>402</v>
      </c>
      <c r="H66" s="12" t="s">
        <v>33</v>
      </c>
      <c r="I66" s="7">
        <v>4</v>
      </c>
      <c r="J66" s="13">
        <v>3</v>
      </c>
      <c r="K66" s="336">
        <v>1</v>
      </c>
      <c r="L66" s="13" t="str">
        <f t="shared" si="1"/>
        <v/>
      </c>
      <c r="M66" s="12">
        <v>1</v>
      </c>
      <c r="N66" s="7">
        <f t="shared" ref="N66:N97" si="4">I66+M66</f>
        <v>5</v>
      </c>
      <c r="O66" s="7"/>
      <c r="P66" s="12">
        <f t="array" ref="P66">SUM(IF(Discs!B60:B346&lt;&gt;D66,0,IF(LEFT(Discs!K60:K346,5)&lt;&gt;"Ship-",0,1)))</f>
        <v>0</v>
      </c>
      <c r="Q66" s="12">
        <f t="array" ref="Q66">SUM(IF(Discs!B60:B346&lt;&gt;D66,0,IF(Discs!K60:K346&lt;&gt;"Crew",0,1)))</f>
        <v>0</v>
      </c>
      <c r="R66" s="12">
        <f t="array" ref="R66">SUM(IF(Discs!B60:B346&lt;&gt;D66,0,IF(Discs!K60:K346&lt;&gt;"Upgrade",0,1)))</f>
        <v>0</v>
      </c>
      <c r="S66" s="12">
        <f t="array" ref="S66">SUM(IF(Discs!B60:B346&lt;&gt;D66,0,IF(Discs!K60:K346&lt;&gt;"Personal",0,1)))</f>
        <v>0</v>
      </c>
      <c r="T66" s="7">
        <f t="array" ref="T66">SUM(IF(Discs!B60:B346&lt;&gt;D66,0,IF(Discs!K60:K346&lt;&gt;"Scenario",0,1)))</f>
        <v>0</v>
      </c>
      <c r="U66" s="7">
        <f t="shared" si="2"/>
        <v>0</v>
      </c>
      <c r="V66" s="14">
        <v>1</v>
      </c>
      <c r="W66" s="14">
        <v>0</v>
      </c>
      <c r="X66" s="14">
        <v>0</v>
      </c>
      <c r="Z66" s="8"/>
      <c r="AA66" s="8"/>
      <c r="AB66" s="8"/>
      <c r="AC66" s="8"/>
    </row>
    <row r="67" spans="1:29" x14ac:dyDescent="0.15">
      <c r="A67" s="7"/>
      <c r="B67" s="12"/>
      <c r="D67" s="7">
        <v>166</v>
      </c>
      <c r="E67" s="12" t="s">
        <v>436</v>
      </c>
      <c r="F67" s="13"/>
      <c r="G67" s="12" t="s">
        <v>433</v>
      </c>
      <c r="H67" s="7" t="s">
        <v>30</v>
      </c>
      <c r="I67" s="7">
        <v>3</v>
      </c>
      <c r="J67" s="13">
        <v>3</v>
      </c>
      <c r="K67" s="336">
        <v>0</v>
      </c>
      <c r="L67" s="13" t="str">
        <f t="shared" ref="L67:L101" si="5">IF(I67-J67-K67=0,"",I67-J67-K67)</f>
        <v/>
      </c>
      <c r="M67" s="12">
        <v>1</v>
      </c>
      <c r="N67" s="7">
        <f t="shared" si="4"/>
        <v>4</v>
      </c>
      <c r="O67" s="7"/>
      <c r="P67" s="12">
        <f t="array" ref="P67">SUM(IF(Discs!B61:B347&lt;&gt;D67,0,IF(LEFT(Discs!K61:K347,5)&lt;&gt;"Ship-",0,1)))</f>
        <v>1</v>
      </c>
      <c r="Q67" s="12">
        <f t="array" ref="Q67">SUM(IF(Discs!B61:B347&lt;&gt;D67,0,IF(Discs!K61:K347&lt;&gt;"Crew",0,1)))</f>
        <v>1</v>
      </c>
      <c r="R67" s="12">
        <f t="array" ref="R67">SUM(IF(Discs!B61:B347&lt;&gt;D67,0,IF(Discs!K61:K347&lt;&gt;"Upgrade",0,1)))</f>
        <v>1</v>
      </c>
      <c r="S67" s="12">
        <f t="array" ref="S67">SUM(IF(Discs!B61:B347&lt;&gt;D67,0,IF(Discs!K61:K347&lt;&gt;"Personal",0,1)))</f>
        <v>0</v>
      </c>
      <c r="T67" s="7">
        <f t="array" ref="T67">SUM(IF(Discs!B61:B347&lt;&gt;D67,0,IF(Discs!K61:K347&lt;&gt;"Scenario",0,1)))</f>
        <v>0</v>
      </c>
      <c r="U67" s="7">
        <f t="shared" ref="U67:U101" si="6">SUM(P67:T67)</f>
        <v>3</v>
      </c>
      <c r="V67" s="14">
        <v>2</v>
      </c>
      <c r="W67" s="14">
        <v>0</v>
      </c>
      <c r="X67" s="14">
        <v>0</v>
      </c>
      <c r="Z67" s="8"/>
      <c r="AA67" s="8"/>
      <c r="AB67" s="8"/>
      <c r="AC67" s="8"/>
    </row>
    <row r="68" spans="1:29" x14ac:dyDescent="0.15">
      <c r="A68" s="7"/>
      <c r="B68" s="12"/>
      <c r="D68" s="7">
        <v>167</v>
      </c>
      <c r="E68" s="12" t="s">
        <v>436</v>
      </c>
      <c r="F68" s="13"/>
      <c r="G68" s="13" t="s">
        <v>434</v>
      </c>
      <c r="H68" s="7" t="s">
        <v>30</v>
      </c>
      <c r="I68" s="7">
        <v>4</v>
      </c>
      <c r="J68" s="13">
        <v>3</v>
      </c>
      <c r="K68" s="336">
        <v>1</v>
      </c>
      <c r="L68" s="13" t="str">
        <f t="shared" si="5"/>
        <v/>
      </c>
      <c r="M68" s="12">
        <v>1</v>
      </c>
      <c r="N68" s="7">
        <f t="shared" si="4"/>
        <v>5</v>
      </c>
      <c r="O68" s="7"/>
      <c r="P68" s="12">
        <f t="array" ref="P68">SUM(IF(Discs!B62:B348&lt;&gt;D68,0,IF(LEFT(Discs!K62:K348,5)&lt;&gt;"Ship-",0,1)))</f>
        <v>0</v>
      </c>
      <c r="Q68" s="12">
        <f t="array" ref="Q68">SUM(IF(Discs!B62:B348&lt;&gt;D68,0,IF(Discs!K62:K348&lt;&gt;"Crew",0,1)))</f>
        <v>3</v>
      </c>
      <c r="R68" s="12">
        <f t="array" ref="R68">SUM(IF(Discs!B62:B348&lt;&gt;D68,0,IF(Discs!K62:K348&lt;&gt;"Upgrade",0,1)))</f>
        <v>1</v>
      </c>
      <c r="S68" s="12">
        <f t="array" ref="S68">SUM(IF(Discs!B62:B348&lt;&gt;D68,0,IF(Discs!K62:K348&lt;&gt;"Personal",0,1)))</f>
        <v>0</v>
      </c>
      <c r="T68" s="7">
        <f t="array" ref="T68">SUM(IF(Discs!B62:B348&lt;&gt;D68,0,IF(Discs!K62:K348&lt;&gt;"Scenario",0,1)))</f>
        <v>0</v>
      </c>
      <c r="U68" s="7">
        <f t="shared" si="6"/>
        <v>4</v>
      </c>
      <c r="V68" s="14">
        <v>0</v>
      </c>
      <c r="W68" s="14">
        <v>0</v>
      </c>
      <c r="X68" s="14">
        <v>0</v>
      </c>
      <c r="Z68" s="8"/>
      <c r="AA68" s="8"/>
      <c r="AB68" s="8"/>
      <c r="AC68" s="8"/>
    </row>
    <row r="69" spans="1:29" x14ac:dyDescent="0.15">
      <c r="A69" s="7"/>
      <c r="B69" s="12"/>
      <c r="C69" s="12"/>
      <c r="D69" s="7">
        <v>168</v>
      </c>
      <c r="E69" s="12" t="s">
        <v>436</v>
      </c>
      <c r="F69" s="13"/>
      <c r="G69" s="7" t="s">
        <v>22</v>
      </c>
      <c r="H69" s="7" t="s">
        <v>30</v>
      </c>
      <c r="I69" s="7">
        <v>4</v>
      </c>
      <c r="J69" s="13">
        <v>3</v>
      </c>
      <c r="K69" s="336">
        <v>1</v>
      </c>
      <c r="L69" s="13" t="str">
        <f t="shared" si="5"/>
        <v/>
      </c>
      <c r="M69" s="12">
        <v>1</v>
      </c>
      <c r="N69" s="7">
        <f t="shared" si="4"/>
        <v>5</v>
      </c>
      <c r="O69" s="7"/>
      <c r="P69" s="12">
        <f t="array" ref="P69">SUM(IF(Discs!B63:B349&lt;&gt;D69,0,IF(LEFT(Discs!K63:K349,5)&lt;&gt;"Ship-",0,1)))</f>
        <v>0</v>
      </c>
      <c r="Q69" s="12">
        <f t="array" ref="Q69">SUM(IF(Discs!B63:B349&lt;&gt;D69,0,IF(Discs!K63:K349&lt;&gt;"Crew",0,1)))</f>
        <v>0</v>
      </c>
      <c r="R69" s="12">
        <f t="array" ref="R69">SUM(IF(Discs!B63:B349&lt;&gt;D69,0,IF(Discs!K63:K349&lt;&gt;"Upgrade",0,1)))</f>
        <v>0</v>
      </c>
      <c r="S69" s="12">
        <f t="array" ref="S69">SUM(IF(Discs!B63:B349&lt;&gt;D69,0,IF(Discs!K63:K349&lt;&gt;"Personal",0,1)))</f>
        <v>0</v>
      </c>
      <c r="T69" s="7">
        <f t="array" ref="T69">SUM(IF(Discs!B63:B349&lt;&gt;D69,0,IF(Discs!K63:K349&lt;&gt;"Scenario",0,1)))</f>
        <v>1</v>
      </c>
      <c r="U69" s="7">
        <f t="shared" si="6"/>
        <v>1</v>
      </c>
      <c r="V69" s="14">
        <v>0</v>
      </c>
      <c r="W69" s="14">
        <v>2</v>
      </c>
      <c r="X69" s="14">
        <v>0</v>
      </c>
      <c r="Z69" s="12">
        <v>2</v>
      </c>
      <c r="AA69" s="12" t="s">
        <v>245</v>
      </c>
      <c r="AB69" s="4" t="s">
        <v>249</v>
      </c>
      <c r="AC69" s="7">
        <v>120</v>
      </c>
    </row>
    <row r="70" spans="1:29" x14ac:dyDescent="0.15">
      <c r="A70" s="7"/>
      <c r="B70" s="12"/>
      <c r="D70" s="7">
        <v>169</v>
      </c>
      <c r="E70" s="12" t="s">
        <v>436</v>
      </c>
      <c r="F70" s="13"/>
      <c r="G70" s="7" t="s">
        <v>402</v>
      </c>
      <c r="H70" s="7" t="s">
        <v>30</v>
      </c>
      <c r="I70" s="7">
        <v>3</v>
      </c>
      <c r="J70" s="13">
        <v>3</v>
      </c>
      <c r="K70" s="336">
        <v>0</v>
      </c>
      <c r="L70" s="13" t="str">
        <f t="shared" si="5"/>
        <v/>
      </c>
      <c r="M70" s="12">
        <v>1</v>
      </c>
      <c r="N70" s="7">
        <f t="shared" si="4"/>
        <v>4</v>
      </c>
      <c r="O70" s="7"/>
      <c r="P70" s="12">
        <f t="array" ref="P70">SUM(IF(Discs!B64:B350&lt;&gt;D70,0,IF(LEFT(Discs!K64:K350,5)&lt;&gt;"Ship-",0,1)))</f>
        <v>0</v>
      </c>
      <c r="Q70" s="12">
        <f t="array" ref="Q70">SUM(IF(Discs!B64:B350&lt;&gt;D70,0,IF(Discs!K64:K350&lt;&gt;"Crew",0,1)))</f>
        <v>0</v>
      </c>
      <c r="R70" s="12">
        <f t="array" ref="R70">SUM(IF(Discs!B64:B350&lt;&gt;D70,0,IF(Discs!K64:K350&lt;&gt;"Upgrade",0,1)))</f>
        <v>0</v>
      </c>
      <c r="S70" s="12">
        <f t="array" ref="S70">SUM(IF(Discs!B64:B350&lt;&gt;D70,0,IF(Discs!K64:K350&lt;&gt;"Personal",0,1)))</f>
        <v>0</v>
      </c>
      <c r="T70" s="7">
        <f t="array" ref="T70">SUM(IF(Discs!B64:B350&lt;&gt;D70,0,IF(Discs!K64:K350&lt;&gt;"Scenario",0,1)))</f>
        <v>0</v>
      </c>
      <c r="U70" s="7">
        <f t="shared" si="6"/>
        <v>0</v>
      </c>
      <c r="V70" s="14">
        <v>4</v>
      </c>
      <c r="W70" s="14">
        <v>0</v>
      </c>
      <c r="X70" s="14">
        <v>0</v>
      </c>
      <c r="Z70" s="8"/>
      <c r="AA70" s="8"/>
      <c r="AB70" s="8"/>
      <c r="AC70" s="8"/>
    </row>
    <row r="71" spans="1:29" x14ac:dyDescent="0.15">
      <c r="A71" s="7"/>
      <c r="B71" s="12"/>
      <c r="D71" s="7">
        <v>170</v>
      </c>
      <c r="E71" s="12" t="s">
        <v>436</v>
      </c>
      <c r="F71" s="13"/>
      <c r="G71" s="7" t="s">
        <v>402</v>
      </c>
      <c r="H71" s="7" t="s">
        <v>30</v>
      </c>
      <c r="I71" s="7">
        <v>4</v>
      </c>
      <c r="J71" s="13">
        <v>3</v>
      </c>
      <c r="K71" s="336">
        <v>1</v>
      </c>
      <c r="L71" s="13" t="str">
        <f t="shared" si="5"/>
        <v/>
      </c>
      <c r="M71" s="12">
        <v>1</v>
      </c>
      <c r="N71" s="7">
        <f t="shared" si="4"/>
        <v>5</v>
      </c>
      <c r="O71" s="7"/>
      <c r="P71" s="12">
        <f t="array" ref="P71">SUM(IF(Discs!B65:B351&lt;&gt;D71,0,IF(LEFT(Discs!K65:K351,5)&lt;&gt;"Ship-",0,1)))</f>
        <v>0</v>
      </c>
      <c r="Q71" s="12">
        <f t="array" ref="Q71">SUM(IF(Discs!B65:B351&lt;&gt;D71,0,IF(Discs!K65:K351&lt;&gt;"Crew",0,1)))</f>
        <v>0</v>
      </c>
      <c r="R71" s="12">
        <f t="array" ref="R71">SUM(IF(Discs!B65:B351&lt;&gt;D71,0,IF(Discs!K65:K351&lt;&gt;"Upgrade",0,1)))</f>
        <v>0</v>
      </c>
      <c r="S71" s="12">
        <f t="array" ref="S71">SUM(IF(Discs!B65:B351&lt;&gt;D71,0,IF(Discs!K65:K351&lt;&gt;"Personal",0,1)))</f>
        <v>0</v>
      </c>
      <c r="T71" s="7">
        <f t="array" ref="T71">SUM(IF(Discs!B65:B351&lt;&gt;D71,0,IF(Discs!K65:K351&lt;&gt;"Scenario",0,1)))</f>
        <v>0</v>
      </c>
      <c r="U71" s="7">
        <f t="shared" si="6"/>
        <v>0</v>
      </c>
      <c r="V71" s="14">
        <v>1</v>
      </c>
      <c r="W71" s="14">
        <v>0</v>
      </c>
      <c r="X71" s="14">
        <v>0</v>
      </c>
      <c r="Z71" s="8"/>
      <c r="AA71" s="8"/>
      <c r="AB71" s="8"/>
      <c r="AC71" s="8"/>
    </row>
    <row r="72" spans="1:29" x14ac:dyDescent="0.15">
      <c r="A72" s="7"/>
      <c r="B72" s="12"/>
      <c r="D72" s="7">
        <v>171</v>
      </c>
      <c r="E72" s="12" t="s">
        <v>436</v>
      </c>
      <c r="F72" s="13"/>
      <c r="G72" s="12" t="s">
        <v>433</v>
      </c>
      <c r="H72" s="7" t="s">
        <v>26</v>
      </c>
      <c r="I72" s="7">
        <v>4</v>
      </c>
      <c r="J72" s="13">
        <v>3</v>
      </c>
      <c r="K72" s="336">
        <v>1</v>
      </c>
      <c r="L72" s="13" t="str">
        <f t="shared" si="5"/>
        <v/>
      </c>
      <c r="M72" s="12">
        <v>1</v>
      </c>
      <c r="N72" s="7">
        <f t="shared" si="4"/>
        <v>5</v>
      </c>
      <c r="O72" s="7"/>
      <c r="P72" s="12">
        <f t="array" ref="P72">SUM(IF(Discs!B66:B352&lt;&gt;D72,0,IF(LEFT(Discs!K66:K352,5)&lt;&gt;"Ship-",0,1)))</f>
        <v>1</v>
      </c>
      <c r="Q72" s="12">
        <f t="array" ref="Q72">SUM(IF(Discs!B66:B352&lt;&gt;D72,0,IF(Discs!K66:K352&lt;&gt;"Crew",0,1)))</f>
        <v>1</v>
      </c>
      <c r="R72" s="12">
        <f t="array" ref="R72">SUM(IF(Discs!B66:B352&lt;&gt;D72,0,IF(Discs!K66:K352&lt;&gt;"Upgrade",0,1)))</f>
        <v>1</v>
      </c>
      <c r="S72" s="12">
        <f t="array" ref="S72">SUM(IF(Discs!B66:B352&lt;&gt;D72,0,IF(Discs!K66:K352&lt;&gt;"Personal",0,1)))</f>
        <v>0</v>
      </c>
      <c r="T72" s="7">
        <f t="array" ref="T72">SUM(IF(Discs!B66:B352&lt;&gt;D72,0,IF(Discs!K66:K352&lt;&gt;"Scenario",0,1)))</f>
        <v>0</v>
      </c>
      <c r="U72" s="7">
        <f t="shared" si="6"/>
        <v>3</v>
      </c>
      <c r="V72" s="14">
        <v>3</v>
      </c>
      <c r="W72" s="14">
        <v>0</v>
      </c>
      <c r="X72" s="14">
        <v>0</v>
      </c>
      <c r="Z72" s="8"/>
      <c r="AA72" s="8"/>
      <c r="AB72" s="8"/>
      <c r="AC72" s="8"/>
    </row>
    <row r="73" spans="1:29" x14ac:dyDescent="0.15">
      <c r="A73" s="7"/>
      <c r="B73" s="12"/>
      <c r="D73" s="7">
        <v>172</v>
      </c>
      <c r="E73" s="12" t="s">
        <v>436</v>
      </c>
      <c r="F73" s="13"/>
      <c r="G73" s="13" t="s">
        <v>434</v>
      </c>
      <c r="H73" s="7" t="s">
        <v>26</v>
      </c>
      <c r="I73" s="7">
        <v>5</v>
      </c>
      <c r="J73" s="13">
        <v>3</v>
      </c>
      <c r="K73" s="336">
        <v>2</v>
      </c>
      <c r="L73" s="13" t="str">
        <f t="shared" si="5"/>
        <v/>
      </c>
      <c r="M73" s="12">
        <v>1</v>
      </c>
      <c r="N73" s="7">
        <f t="shared" si="4"/>
        <v>6</v>
      </c>
      <c r="O73" s="7"/>
      <c r="P73" s="12">
        <f t="array" ref="P73">SUM(IF(Discs!B67:B353&lt;&gt;D73,0,IF(LEFT(Discs!K67:K353,5)&lt;&gt;"Ship-",0,1)))</f>
        <v>0</v>
      </c>
      <c r="Q73" s="12">
        <f t="array" ref="Q73">SUM(IF(Discs!B67:B353&lt;&gt;D73,0,IF(Discs!K67:K353&lt;&gt;"Crew",0,1)))</f>
        <v>3</v>
      </c>
      <c r="R73" s="12">
        <f t="array" ref="R73">SUM(IF(Discs!B67:B353&lt;&gt;D73,0,IF(Discs!K67:K353&lt;&gt;"Upgrade",0,1)))</f>
        <v>1</v>
      </c>
      <c r="S73" s="12">
        <f t="array" ref="S73">SUM(IF(Discs!B67:B353&lt;&gt;D73,0,IF(Discs!K67:K353&lt;&gt;"Personal",0,1)))</f>
        <v>0</v>
      </c>
      <c r="T73" s="7">
        <f t="array" ref="T73">SUM(IF(Discs!B67:B353&lt;&gt;D73,0,IF(Discs!K67:K353&lt;&gt;"Scenario",0,1)))</f>
        <v>0</v>
      </c>
      <c r="U73" s="7">
        <f t="shared" si="6"/>
        <v>4</v>
      </c>
      <c r="V73" s="14">
        <v>0</v>
      </c>
      <c r="W73" s="14">
        <v>0</v>
      </c>
      <c r="X73" s="14">
        <v>0</v>
      </c>
      <c r="Z73" s="8"/>
      <c r="AA73" s="8"/>
      <c r="AB73" s="8"/>
      <c r="AC73" s="8"/>
    </row>
    <row r="74" spans="1:29" x14ac:dyDescent="0.15">
      <c r="A74" s="7"/>
      <c r="B74" s="12"/>
      <c r="C74" s="12"/>
      <c r="D74" s="7">
        <v>173</v>
      </c>
      <c r="E74" s="12" t="s">
        <v>436</v>
      </c>
      <c r="F74" s="13"/>
      <c r="G74" s="7" t="s">
        <v>22</v>
      </c>
      <c r="H74" s="7" t="s">
        <v>26</v>
      </c>
      <c r="I74" s="7">
        <v>8</v>
      </c>
      <c r="J74" s="13">
        <v>3</v>
      </c>
      <c r="K74" s="336">
        <v>5</v>
      </c>
      <c r="L74" s="13" t="str">
        <f t="shared" si="5"/>
        <v/>
      </c>
      <c r="M74" s="12">
        <v>1</v>
      </c>
      <c r="N74" s="7">
        <f t="shared" si="4"/>
        <v>9</v>
      </c>
      <c r="O74" s="7"/>
      <c r="P74" s="12">
        <f t="array" ref="P74">SUM(IF(Discs!B68:B354&lt;&gt;D74,0,IF(LEFT(Discs!K68:K354,5)&lt;&gt;"Ship-",0,1)))</f>
        <v>0</v>
      </c>
      <c r="Q74" s="12">
        <f t="array" ref="Q74">SUM(IF(Discs!B68:B354&lt;&gt;D74,0,IF(Discs!K68:K354&lt;&gt;"Crew",0,1)))</f>
        <v>0</v>
      </c>
      <c r="R74" s="12">
        <f t="array" ref="R74">SUM(IF(Discs!B68:B354&lt;&gt;D74,0,IF(Discs!K68:K354&lt;&gt;"Upgrade",0,1)))</f>
        <v>0</v>
      </c>
      <c r="S74" s="12">
        <f t="array" ref="S74">SUM(IF(Discs!B68:B354&lt;&gt;D74,0,IF(Discs!K68:K354&lt;&gt;"Personal",0,1)))</f>
        <v>0</v>
      </c>
      <c r="T74" s="7">
        <f t="array" ref="T74">SUM(IF(Discs!B68:B354&lt;&gt;D74,0,IF(Discs!K68:K354&lt;&gt;"Scenario",0,1)))</f>
        <v>1</v>
      </c>
      <c r="U74" s="7">
        <f t="shared" si="6"/>
        <v>1</v>
      </c>
      <c r="V74" s="12">
        <v>0</v>
      </c>
      <c r="W74" s="7">
        <v>2</v>
      </c>
      <c r="X74" s="7">
        <v>0</v>
      </c>
      <c r="Z74" s="12">
        <v>2</v>
      </c>
      <c r="AA74" s="13" t="s">
        <v>247</v>
      </c>
      <c r="AB74" s="4" t="s">
        <v>248</v>
      </c>
      <c r="AC74" s="7">
        <v>100</v>
      </c>
    </row>
    <row r="75" spans="1:29" x14ac:dyDescent="0.15">
      <c r="A75" s="7"/>
      <c r="B75" s="12"/>
      <c r="D75" s="7">
        <v>174</v>
      </c>
      <c r="E75" s="12" t="s">
        <v>436</v>
      </c>
      <c r="F75" s="13"/>
      <c r="G75" s="7" t="s">
        <v>402</v>
      </c>
      <c r="H75" s="7" t="s">
        <v>26</v>
      </c>
      <c r="I75" s="7">
        <v>5</v>
      </c>
      <c r="J75" s="13">
        <v>3</v>
      </c>
      <c r="K75" s="336">
        <v>2</v>
      </c>
      <c r="L75" s="13" t="str">
        <f t="shared" si="5"/>
        <v/>
      </c>
      <c r="M75" s="12">
        <v>1</v>
      </c>
      <c r="N75" s="7">
        <f t="shared" si="4"/>
        <v>6</v>
      </c>
      <c r="O75" s="7"/>
      <c r="P75" s="12">
        <f t="array" ref="P75">SUM(IF(Discs!B69:B355&lt;&gt;D75,0,IF(LEFT(Discs!K69:K355,5)&lt;&gt;"Ship-",0,1)))</f>
        <v>0</v>
      </c>
      <c r="Q75" s="12">
        <f t="array" ref="Q75">SUM(IF(Discs!B69:B355&lt;&gt;D75,0,IF(Discs!K69:K355&lt;&gt;"Crew",0,1)))</f>
        <v>0</v>
      </c>
      <c r="R75" s="12">
        <f t="array" ref="R75">SUM(IF(Discs!B69:B355&lt;&gt;D75,0,IF(Discs!K69:K355&lt;&gt;"Upgrade",0,1)))</f>
        <v>0</v>
      </c>
      <c r="S75" s="12">
        <f t="array" ref="S75">SUM(IF(Discs!B69:B355&lt;&gt;D75,0,IF(Discs!K69:K355&lt;&gt;"Personal",0,1)))</f>
        <v>0</v>
      </c>
      <c r="T75" s="7">
        <f t="array" ref="T75">SUM(IF(Discs!B69:B355&lt;&gt;D75,0,IF(Discs!K69:K355&lt;&gt;"Scenario",0,1)))</f>
        <v>0</v>
      </c>
      <c r="U75" s="7">
        <f t="shared" si="6"/>
        <v>0</v>
      </c>
      <c r="V75" s="12">
        <v>4</v>
      </c>
      <c r="W75" s="12">
        <v>0</v>
      </c>
      <c r="X75" s="7">
        <v>0</v>
      </c>
      <c r="Z75" s="8"/>
      <c r="AA75" s="8"/>
      <c r="AB75" s="8"/>
      <c r="AC75" s="8"/>
    </row>
    <row r="76" spans="1:29" x14ac:dyDescent="0.15">
      <c r="A76" s="7"/>
      <c r="B76" s="12"/>
      <c r="D76" s="7">
        <v>175</v>
      </c>
      <c r="E76" s="12" t="s">
        <v>436</v>
      </c>
      <c r="F76" s="13"/>
      <c r="G76" s="7" t="s">
        <v>402</v>
      </c>
      <c r="H76" s="7" t="s">
        <v>26</v>
      </c>
      <c r="I76" s="7">
        <v>5</v>
      </c>
      <c r="J76" s="13">
        <v>3</v>
      </c>
      <c r="K76" s="336">
        <v>2</v>
      </c>
      <c r="L76" s="13" t="str">
        <f t="shared" si="5"/>
        <v/>
      </c>
      <c r="M76" s="12">
        <v>1</v>
      </c>
      <c r="N76" s="7">
        <f t="shared" si="4"/>
        <v>6</v>
      </c>
      <c r="O76" s="7"/>
      <c r="P76" s="12">
        <f t="array" ref="P76">SUM(IF(Discs!B70:B356&lt;&gt;D76,0,IF(LEFT(Discs!K70:K356,5)&lt;&gt;"Ship-",0,1)))</f>
        <v>0</v>
      </c>
      <c r="Q76" s="12">
        <f t="array" ref="Q76">SUM(IF(Discs!B70:B356&lt;&gt;D76,0,IF(Discs!K70:K356&lt;&gt;"Crew",0,1)))</f>
        <v>0</v>
      </c>
      <c r="R76" s="12">
        <f t="array" ref="R76">SUM(IF(Discs!B70:B356&lt;&gt;D76,0,IF(Discs!K70:K356&lt;&gt;"Upgrade",0,1)))</f>
        <v>0</v>
      </c>
      <c r="S76" s="12">
        <f t="array" ref="S76">SUM(IF(Discs!B70:B356&lt;&gt;D76,0,IF(Discs!K70:K356&lt;&gt;"Personal",0,1)))</f>
        <v>0</v>
      </c>
      <c r="T76" s="7">
        <f t="array" ref="T76">SUM(IF(Discs!B70:B356&lt;&gt;D76,0,IF(Discs!K70:K356&lt;&gt;"Scenario",0,1)))</f>
        <v>0</v>
      </c>
      <c r="U76" s="7">
        <f t="shared" si="6"/>
        <v>0</v>
      </c>
      <c r="V76" s="12">
        <v>1</v>
      </c>
      <c r="W76" s="7">
        <v>0</v>
      </c>
      <c r="X76" s="7">
        <v>0</v>
      </c>
      <c r="Z76" s="8"/>
      <c r="AA76" s="8"/>
      <c r="AB76" s="8"/>
      <c r="AC76" s="8"/>
    </row>
    <row r="77" spans="1:29" ht="12" customHeight="1" x14ac:dyDescent="0.15">
      <c r="A77" s="7"/>
      <c r="D77" s="7">
        <v>176</v>
      </c>
      <c r="E77" s="12" t="s">
        <v>436</v>
      </c>
      <c r="F77" s="13"/>
      <c r="G77" s="12" t="s">
        <v>433</v>
      </c>
      <c r="H77" s="7" t="s">
        <v>26</v>
      </c>
      <c r="I77" s="7">
        <v>6</v>
      </c>
      <c r="J77" s="13">
        <v>3</v>
      </c>
      <c r="K77" s="336">
        <v>3</v>
      </c>
      <c r="L77" s="13" t="str">
        <f t="shared" si="5"/>
        <v/>
      </c>
      <c r="M77" s="12">
        <v>1</v>
      </c>
      <c r="N77" s="7">
        <f t="shared" si="4"/>
        <v>7</v>
      </c>
      <c r="O77" s="7"/>
      <c r="P77" s="12">
        <f t="array" ref="P77">SUM(IF(Discs!B71:B357&lt;&gt;D77,0,IF(LEFT(Discs!K71:K357,5)&lt;&gt;"Ship-",0,1)))</f>
        <v>1</v>
      </c>
      <c r="Q77" s="12">
        <f t="array" ref="Q77">SUM(IF(Discs!B71:B357&lt;&gt;D77,0,IF(Discs!K71:K357&lt;&gt;"Crew",0,1)))</f>
        <v>1</v>
      </c>
      <c r="R77" s="12">
        <f t="array" ref="R77">SUM(IF(Discs!B71:B357&lt;&gt;D77,0,IF(Discs!K71:K357&lt;&gt;"Upgrade",0,1)))</f>
        <v>1</v>
      </c>
      <c r="S77" s="12">
        <f t="array" ref="S77">SUM(IF(Discs!B71:B357&lt;&gt;D77,0,IF(Discs!K71:K357&lt;&gt;"Personal",0,1)))</f>
        <v>0</v>
      </c>
      <c r="T77" s="7">
        <f t="array" ref="T77">SUM(IF(Discs!B71:B357&lt;&gt;D77,0,IF(Discs!K71:K357&lt;&gt;"Scenario",0,1)))</f>
        <v>0</v>
      </c>
      <c r="U77" s="7">
        <f t="shared" si="6"/>
        <v>3</v>
      </c>
      <c r="V77" s="12">
        <v>3</v>
      </c>
      <c r="W77" s="12">
        <v>0</v>
      </c>
      <c r="X77" s="12">
        <v>0</v>
      </c>
      <c r="Z77" s="8"/>
      <c r="AA77" s="8"/>
      <c r="AB77" s="8"/>
      <c r="AC77" s="8"/>
    </row>
    <row r="78" spans="1:29" ht="12" customHeight="1" x14ac:dyDescent="0.15">
      <c r="A78" s="7"/>
      <c r="C78" s="12"/>
      <c r="D78" s="7">
        <v>177</v>
      </c>
      <c r="E78" s="12" t="s">
        <v>436</v>
      </c>
      <c r="F78" s="13"/>
      <c r="G78" s="13" t="s">
        <v>434</v>
      </c>
      <c r="H78" s="7" t="s">
        <v>26</v>
      </c>
      <c r="I78" s="7">
        <v>4</v>
      </c>
      <c r="J78" s="13">
        <v>3</v>
      </c>
      <c r="K78" s="336">
        <v>1</v>
      </c>
      <c r="L78" s="13" t="str">
        <f t="shared" si="5"/>
        <v/>
      </c>
      <c r="M78" s="12">
        <v>1</v>
      </c>
      <c r="N78" s="7">
        <f t="shared" si="4"/>
        <v>5</v>
      </c>
      <c r="O78" s="7"/>
      <c r="P78" s="12">
        <f t="array" ref="P78">SUM(IF(Discs!B72:B358&lt;&gt;D78,0,IF(LEFT(Discs!K72:K358,5)&lt;&gt;"Ship-",0,1)))</f>
        <v>0</v>
      </c>
      <c r="Q78" s="12">
        <f t="array" ref="Q78">SUM(IF(Discs!B72:B358&lt;&gt;D78,0,IF(Discs!K72:K358&lt;&gt;"Crew",0,1)))</f>
        <v>3</v>
      </c>
      <c r="R78" s="12">
        <f t="array" ref="R78">SUM(IF(Discs!B72:B358&lt;&gt;D78,0,IF(Discs!K72:K358&lt;&gt;"Upgrade",0,1)))</f>
        <v>1</v>
      </c>
      <c r="S78" s="12">
        <f t="array" ref="S78">SUM(IF(Discs!B72:B358&lt;&gt;D78,0,IF(Discs!K72:K358&lt;&gt;"Personal",0,1)))</f>
        <v>0</v>
      </c>
      <c r="T78" s="7">
        <f t="array" ref="T78">SUM(IF(Discs!B72:B358&lt;&gt;D78,0,IF(Discs!K72:K358&lt;&gt;"Scenario",0,1)))</f>
        <v>0</v>
      </c>
      <c r="U78" s="7">
        <f t="shared" si="6"/>
        <v>4</v>
      </c>
      <c r="V78" s="12">
        <v>0</v>
      </c>
      <c r="W78" s="12">
        <v>0</v>
      </c>
      <c r="X78" s="12">
        <v>0</v>
      </c>
      <c r="Z78" s="8"/>
      <c r="AA78" s="8"/>
      <c r="AB78" s="8"/>
      <c r="AC78" s="8"/>
    </row>
    <row r="79" spans="1:29" ht="12" customHeight="1" x14ac:dyDescent="0.15">
      <c r="A79" s="7"/>
      <c r="C79" s="12"/>
      <c r="D79" s="7">
        <v>178</v>
      </c>
      <c r="E79" s="12" t="s">
        <v>436</v>
      </c>
      <c r="F79" s="13"/>
      <c r="G79" s="7" t="s">
        <v>22</v>
      </c>
      <c r="H79" s="7" t="s">
        <v>26</v>
      </c>
      <c r="I79" s="7">
        <v>5</v>
      </c>
      <c r="J79" s="13">
        <v>3</v>
      </c>
      <c r="K79" s="336">
        <v>2</v>
      </c>
      <c r="L79" s="13" t="str">
        <f t="shared" si="5"/>
        <v/>
      </c>
      <c r="M79" s="12">
        <v>1</v>
      </c>
      <c r="N79" s="7">
        <f t="shared" si="4"/>
        <v>6</v>
      </c>
      <c r="O79" s="7"/>
      <c r="P79" s="12">
        <f t="array" ref="P79">SUM(IF(Discs!B73:B359&lt;&gt;D79,0,IF(LEFT(Discs!K73:K359,5)&lt;&gt;"Ship-",0,1)))</f>
        <v>0</v>
      </c>
      <c r="Q79" s="12">
        <f t="array" ref="Q79">SUM(IF(Discs!B73:B359&lt;&gt;D79,0,IF(Discs!K73:K359&lt;&gt;"Crew",0,1)))</f>
        <v>0</v>
      </c>
      <c r="R79" s="12">
        <f t="array" ref="R79">SUM(IF(Discs!B73:B359&lt;&gt;D79,0,IF(Discs!K73:K359&lt;&gt;"Upgrade",0,1)))</f>
        <v>0</v>
      </c>
      <c r="S79" s="12">
        <f t="array" ref="S79">SUM(IF(Discs!B73:B359&lt;&gt;D79,0,IF(Discs!K73:K359&lt;&gt;"Personal",0,1)))</f>
        <v>0</v>
      </c>
      <c r="T79" s="7">
        <f t="array" ref="T79">SUM(IF(Discs!B73:B359&lt;&gt;D79,0,IF(Discs!K73:K359&lt;&gt;"Scenario",0,1)))</f>
        <v>1</v>
      </c>
      <c r="U79" s="7">
        <f t="shared" si="6"/>
        <v>1</v>
      </c>
      <c r="V79" s="12">
        <v>0</v>
      </c>
      <c r="W79" s="12">
        <v>2</v>
      </c>
      <c r="X79" s="12">
        <v>0</v>
      </c>
      <c r="Z79" s="12">
        <v>2</v>
      </c>
      <c r="AA79" s="13" t="s">
        <v>247</v>
      </c>
      <c r="AB79" s="4" t="s">
        <v>244</v>
      </c>
      <c r="AC79" s="7">
        <v>80</v>
      </c>
    </row>
    <row r="80" spans="1:29" ht="12" customHeight="1" x14ac:dyDescent="0.15">
      <c r="A80" s="7"/>
      <c r="C80" s="12"/>
      <c r="D80" s="7">
        <v>179</v>
      </c>
      <c r="E80" s="12" t="s">
        <v>436</v>
      </c>
      <c r="F80" s="13"/>
      <c r="G80" s="7" t="s">
        <v>402</v>
      </c>
      <c r="H80" s="7" t="s">
        <v>26</v>
      </c>
      <c r="I80" s="7">
        <v>5</v>
      </c>
      <c r="J80" s="13">
        <v>3</v>
      </c>
      <c r="K80" s="336">
        <v>2</v>
      </c>
      <c r="L80" s="13" t="str">
        <f t="shared" si="5"/>
        <v/>
      </c>
      <c r="M80" s="12">
        <v>1</v>
      </c>
      <c r="N80" s="7">
        <f t="shared" si="4"/>
        <v>6</v>
      </c>
      <c r="O80" s="7"/>
      <c r="P80" s="12">
        <f t="array" ref="P80">SUM(IF(Discs!B74:B360&lt;&gt;D80,0,IF(LEFT(Discs!K74:K360,5)&lt;&gt;"Ship-",0,1)))</f>
        <v>0</v>
      </c>
      <c r="Q80" s="12">
        <f t="array" ref="Q80">SUM(IF(Discs!B74:B360&lt;&gt;D80,0,IF(Discs!K74:K360&lt;&gt;"Crew",0,1)))</f>
        <v>0</v>
      </c>
      <c r="R80" s="12">
        <f t="array" ref="R80">SUM(IF(Discs!B74:B360&lt;&gt;D80,0,IF(Discs!K74:K360&lt;&gt;"Upgrade",0,1)))</f>
        <v>0</v>
      </c>
      <c r="S80" s="12">
        <f t="array" ref="S80">SUM(IF(Discs!B74:B360&lt;&gt;D80,0,IF(Discs!K74:K360&lt;&gt;"Personal",0,1)))</f>
        <v>0</v>
      </c>
      <c r="T80" s="7">
        <f t="array" ref="T80">SUM(IF(Discs!B74:B360&lt;&gt;D80,0,IF(Discs!K74:K360&lt;&gt;"Scenario",0,1)))</f>
        <v>0</v>
      </c>
      <c r="U80" s="7">
        <f t="shared" si="6"/>
        <v>0</v>
      </c>
      <c r="V80" s="12">
        <v>4</v>
      </c>
      <c r="W80" s="12">
        <v>0</v>
      </c>
      <c r="X80" s="7">
        <v>0</v>
      </c>
      <c r="Z80" s="8"/>
      <c r="AA80" s="8"/>
      <c r="AB80" s="8"/>
      <c r="AC80" s="8"/>
    </row>
    <row r="81" spans="1:29" ht="12" customHeight="1" x14ac:dyDescent="0.15">
      <c r="A81" s="7"/>
      <c r="D81" s="7">
        <v>180</v>
      </c>
      <c r="E81" s="12" t="s">
        <v>436</v>
      </c>
      <c r="F81" s="13"/>
      <c r="G81" s="7" t="s">
        <v>402</v>
      </c>
      <c r="H81" s="7" t="s">
        <v>26</v>
      </c>
      <c r="I81" s="7">
        <v>4</v>
      </c>
      <c r="J81" s="13">
        <v>3</v>
      </c>
      <c r="K81" s="336">
        <v>1</v>
      </c>
      <c r="L81" s="13" t="str">
        <f t="shared" si="5"/>
        <v/>
      </c>
      <c r="M81" s="12">
        <v>1</v>
      </c>
      <c r="N81" s="7">
        <f t="shared" si="4"/>
        <v>5</v>
      </c>
      <c r="O81" s="7"/>
      <c r="P81" s="12">
        <f t="array" ref="P81">SUM(IF(Discs!B75:B361&lt;&gt;D81,0,IF(LEFT(Discs!K75:K361,5)&lt;&gt;"Ship-",0,1)))</f>
        <v>0</v>
      </c>
      <c r="Q81" s="12">
        <f t="array" ref="Q81">SUM(IF(Discs!B75:B361&lt;&gt;D81,0,IF(Discs!K75:K361&lt;&gt;"Crew",0,1)))</f>
        <v>0</v>
      </c>
      <c r="R81" s="12">
        <f t="array" ref="R81">SUM(IF(Discs!B75:B361&lt;&gt;D81,0,IF(Discs!K75:K361&lt;&gt;"Upgrade",0,1)))</f>
        <v>0</v>
      </c>
      <c r="S81" s="12">
        <f t="array" ref="S81">SUM(IF(Discs!B75:B361&lt;&gt;D81,0,IF(Discs!K75:K361&lt;&gt;"Personal",0,1)))</f>
        <v>0</v>
      </c>
      <c r="T81" s="7">
        <f t="array" ref="T81">SUM(IF(Discs!B75:B361&lt;&gt;D81,0,IF(Discs!K75:K361&lt;&gt;"Scenario",0,1)))</f>
        <v>0</v>
      </c>
      <c r="U81" s="7">
        <f t="shared" si="6"/>
        <v>0</v>
      </c>
      <c r="V81" s="12">
        <v>1</v>
      </c>
      <c r="W81" s="7">
        <v>0</v>
      </c>
      <c r="X81" s="7">
        <v>0</v>
      </c>
      <c r="Z81" s="8"/>
      <c r="AA81" s="8"/>
      <c r="AB81" s="8"/>
      <c r="AC81" s="8"/>
    </row>
    <row r="82" spans="1:29" ht="12" customHeight="1" x14ac:dyDescent="0.15">
      <c r="A82" s="7"/>
      <c r="D82" s="7">
        <v>181</v>
      </c>
      <c r="E82" s="12" t="s">
        <v>436</v>
      </c>
      <c r="F82" s="13"/>
      <c r="G82" s="12" t="s">
        <v>433</v>
      </c>
      <c r="H82" s="7" t="s">
        <v>68</v>
      </c>
      <c r="I82" s="7">
        <v>9</v>
      </c>
      <c r="J82" s="13">
        <v>3</v>
      </c>
      <c r="K82" s="336">
        <v>6</v>
      </c>
      <c r="L82" s="13" t="str">
        <f t="shared" si="5"/>
        <v/>
      </c>
      <c r="M82" s="12">
        <v>1</v>
      </c>
      <c r="N82" s="7">
        <f t="shared" si="4"/>
        <v>10</v>
      </c>
      <c r="O82" s="7"/>
      <c r="P82" s="12">
        <f t="array" ref="P82">SUM(IF(Discs!B76:B362&lt;&gt;D82,0,IF(LEFT(Discs!K76:K362,5)&lt;&gt;"Ship-",0,1)))</f>
        <v>1</v>
      </c>
      <c r="Q82" s="12">
        <f t="array" ref="Q82">SUM(IF(Discs!B76:B362&lt;&gt;D82,0,IF(Discs!K76:K362&lt;&gt;"Crew",0,1)))</f>
        <v>1</v>
      </c>
      <c r="R82" s="12">
        <f t="array" ref="R82">SUM(IF(Discs!B76:B362&lt;&gt;D82,0,IF(Discs!K76:K362&lt;&gt;"Upgrade",0,1)))</f>
        <v>1</v>
      </c>
      <c r="S82" s="12">
        <f t="array" ref="S82">SUM(IF(Discs!B76:B362&lt;&gt;D82,0,IF(Discs!K76:K362&lt;&gt;"Personal",0,1)))</f>
        <v>0</v>
      </c>
      <c r="T82" s="7">
        <f t="array" ref="T82">SUM(IF(Discs!B76:B362&lt;&gt;D82,0,IF(Discs!K76:K362&lt;&gt;"Scenario",0,1)))</f>
        <v>0</v>
      </c>
      <c r="U82" s="7">
        <f t="shared" si="6"/>
        <v>3</v>
      </c>
      <c r="V82" s="12">
        <v>3</v>
      </c>
      <c r="W82" s="12">
        <v>0</v>
      </c>
      <c r="X82" s="12">
        <v>0</v>
      </c>
      <c r="Z82" s="8"/>
      <c r="AA82" s="8"/>
      <c r="AB82" s="8"/>
      <c r="AC82" s="8"/>
    </row>
    <row r="83" spans="1:29" ht="12" customHeight="1" x14ac:dyDescent="0.15">
      <c r="A83" s="7"/>
      <c r="D83" s="7">
        <v>182</v>
      </c>
      <c r="E83" s="12" t="s">
        <v>436</v>
      </c>
      <c r="F83" s="13"/>
      <c r="G83" s="13" t="s">
        <v>434</v>
      </c>
      <c r="H83" s="7" t="s">
        <v>68</v>
      </c>
      <c r="I83" s="7">
        <v>8</v>
      </c>
      <c r="J83" s="13">
        <v>3</v>
      </c>
      <c r="K83" s="336">
        <v>5</v>
      </c>
      <c r="L83" s="13" t="str">
        <f t="shared" si="5"/>
        <v/>
      </c>
      <c r="M83" s="12">
        <v>1</v>
      </c>
      <c r="N83" s="7">
        <f t="shared" si="4"/>
        <v>9</v>
      </c>
      <c r="O83" s="7"/>
      <c r="P83" s="12">
        <f t="array" ref="P83">SUM(IF(Discs!B77:B363&lt;&gt;D83,0,IF(LEFT(Discs!K77:K363,5)&lt;&gt;"Ship-",0,1)))</f>
        <v>0</v>
      </c>
      <c r="Q83" s="12">
        <f t="array" ref="Q83">SUM(IF(Discs!B77:B363&lt;&gt;D83,0,IF(Discs!K77:K363&lt;&gt;"Crew",0,1)))</f>
        <v>3</v>
      </c>
      <c r="R83" s="12">
        <f t="array" ref="R83">SUM(IF(Discs!B77:B363&lt;&gt;D83,0,IF(Discs!K77:K363&lt;&gt;"Upgrade",0,1)))</f>
        <v>1</v>
      </c>
      <c r="S83" s="12">
        <f t="array" ref="S83">SUM(IF(Discs!B77:B363&lt;&gt;D83,0,IF(Discs!K77:K363&lt;&gt;"Personal",0,1)))</f>
        <v>0</v>
      </c>
      <c r="T83" s="7">
        <f t="array" ref="T83">SUM(IF(Discs!B77:B363&lt;&gt;D83,0,IF(Discs!K77:K363&lt;&gt;"Scenario",0,1)))</f>
        <v>0</v>
      </c>
      <c r="U83" s="7">
        <f t="shared" si="6"/>
        <v>4</v>
      </c>
      <c r="V83" s="12">
        <v>0</v>
      </c>
      <c r="W83" s="12">
        <v>0</v>
      </c>
      <c r="X83" s="12">
        <v>0</v>
      </c>
      <c r="Z83" s="8"/>
      <c r="AA83" s="8"/>
      <c r="AB83" s="8"/>
      <c r="AC83" s="8"/>
    </row>
    <row r="84" spans="1:29" ht="12" customHeight="1" x14ac:dyDescent="0.15">
      <c r="A84" s="7"/>
      <c r="C84" s="12"/>
      <c r="D84" s="7">
        <v>183</v>
      </c>
      <c r="E84" s="12" t="s">
        <v>436</v>
      </c>
      <c r="F84" s="13"/>
      <c r="G84" s="7" t="s">
        <v>22</v>
      </c>
      <c r="H84" s="7" t="s">
        <v>68</v>
      </c>
      <c r="I84" s="7">
        <v>8</v>
      </c>
      <c r="J84" s="13">
        <v>3</v>
      </c>
      <c r="K84" s="336">
        <v>5</v>
      </c>
      <c r="L84" s="13" t="str">
        <f t="shared" si="5"/>
        <v/>
      </c>
      <c r="M84" s="12">
        <v>1</v>
      </c>
      <c r="N84" s="7">
        <f t="shared" si="4"/>
        <v>9</v>
      </c>
      <c r="O84" s="7"/>
      <c r="P84" s="12">
        <f t="array" ref="P84">SUM(IF(Discs!B78:B364&lt;&gt;D84,0,IF(LEFT(Discs!K78:K364,5)&lt;&gt;"Ship-",0,1)))</f>
        <v>0</v>
      </c>
      <c r="Q84" s="12">
        <f t="array" ref="Q84">SUM(IF(Discs!B78:B364&lt;&gt;D84,0,IF(Discs!K78:K364&lt;&gt;"Crew",0,1)))</f>
        <v>0</v>
      </c>
      <c r="R84" s="12">
        <f t="array" ref="R84">SUM(IF(Discs!B78:B364&lt;&gt;D84,0,IF(Discs!K78:K364&lt;&gt;"Upgrade",0,1)))</f>
        <v>0</v>
      </c>
      <c r="S84" s="12">
        <f t="array" ref="S84">SUM(IF(Discs!B78:B364&lt;&gt;D84,0,IF(Discs!K78:K364&lt;&gt;"Personal",0,1)))</f>
        <v>0</v>
      </c>
      <c r="T84" s="7">
        <f t="array" ref="T84">SUM(IF(Discs!B78:B364&lt;&gt;D84,0,IF(Discs!K78:K364&lt;&gt;"Scenario",0,1)))</f>
        <v>1</v>
      </c>
      <c r="U84" s="7">
        <f t="shared" si="6"/>
        <v>1</v>
      </c>
      <c r="V84" s="12">
        <v>0</v>
      </c>
      <c r="W84" s="12">
        <v>2</v>
      </c>
      <c r="X84" s="12">
        <v>0</v>
      </c>
      <c r="Z84" s="12">
        <v>2</v>
      </c>
      <c r="AA84" s="12">
        <v>2</v>
      </c>
      <c r="AB84" s="4" t="s">
        <v>252</v>
      </c>
      <c r="AC84" s="12">
        <v>50</v>
      </c>
    </row>
    <row r="85" spans="1:29" ht="12" customHeight="1" x14ac:dyDescent="0.15">
      <c r="A85" s="7"/>
      <c r="D85" s="7">
        <v>184</v>
      </c>
      <c r="E85" s="12" t="s">
        <v>436</v>
      </c>
      <c r="F85" s="13"/>
      <c r="G85" s="7" t="s">
        <v>402</v>
      </c>
      <c r="H85" s="7" t="s">
        <v>68</v>
      </c>
      <c r="I85" s="7">
        <v>7</v>
      </c>
      <c r="J85" s="13">
        <v>3</v>
      </c>
      <c r="K85" s="336">
        <v>4</v>
      </c>
      <c r="L85" s="13" t="str">
        <f t="shared" si="5"/>
        <v/>
      </c>
      <c r="M85" s="12">
        <v>1</v>
      </c>
      <c r="N85" s="7">
        <f t="shared" si="4"/>
        <v>8</v>
      </c>
      <c r="O85" s="7"/>
      <c r="P85" s="12">
        <f t="array" ref="P85">SUM(IF(Discs!B79:B365&lt;&gt;D85,0,IF(LEFT(Discs!K79:K365,5)&lt;&gt;"Ship-",0,1)))</f>
        <v>0</v>
      </c>
      <c r="Q85" s="12">
        <f t="array" ref="Q85">SUM(IF(Discs!B79:B365&lt;&gt;D85,0,IF(Discs!K79:K365&lt;&gt;"Crew",0,1)))</f>
        <v>0</v>
      </c>
      <c r="R85" s="12">
        <f t="array" ref="R85">SUM(IF(Discs!B79:B365&lt;&gt;D85,0,IF(Discs!K79:K365&lt;&gt;"Upgrade",0,1)))</f>
        <v>0</v>
      </c>
      <c r="S85" s="12">
        <f t="array" ref="S85">SUM(IF(Discs!B79:B365&lt;&gt;D85,0,IF(Discs!K79:K365&lt;&gt;"Personal",0,1)))</f>
        <v>0</v>
      </c>
      <c r="T85" s="7">
        <f t="array" ref="T85">SUM(IF(Discs!B79:B365&lt;&gt;D85,0,IF(Discs!K79:K365&lt;&gt;"Scenario",0,1)))</f>
        <v>0</v>
      </c>
      <c r="U85" s="7">
        <f t="shared" si="6"/>
        <v>0</v>
      </c>
      <c r="V85" s="12">
        <v>4</v>
      </c>
      <c r="W85" s="12">
        <v>0</v>
      </c>
      <c r="X85" s="7">
        <v>0</v>
      </c>
      <c r="Z85" s="8"/>
      <c r="AA85" s="8"/>
      <c r="AB85" s="8"/>
      <c r="AC85" s="8"/>
    </row>
    <row r="86" spans="1:29" ht="12" customHeight="1" x14ac:dyDescent="0.15">
      <c r="A86" s="7"/>
      <c r="C86" s="12"/>
      <c r="D86" s="7">
        <v>185</v>
      </c>
      <c r="E86" s="12" t="s">
        <v>436</v>
      </c>
      <c r="F86" s="13"/>
      <c r="G86" s="7" t="s">
        <v>402</v>
      </c>
      <c r="H86" s="7" t="s">
        <v>68</v>
      </c>
      <c r="I86" s="7">
        <v>6</v>
      </c>
      <c r="J86" s="13">
        <v>3</v>
      </c>
      <c r="K86" s="336">
        <v>3</v>
      </c>
      <c r="L86" s="13" t="str">
        <f t="shared" si="5"/>
        <v/>
      </c>
      <c r="M86" s="12">
        <v>2</v>
      </c>
      <c r="N86" s="7">
        <f t="shared" si="4"/>
        <v>8</v>
      </c>
      <c r="O86" s="7"/>
      <c r="P86" s="12">
        <f t="array" ref="P86">SUM(IF(Discs!B80:B366&lt;&gt;D86,0,IF(LEFT(Discs!K80:K366,5)&lt;&gt;"Ship-",0,1)))</f>
        <v>0</v>
      </c>
      <c r="Q86" s="12">
        <f t="array" ref="Q86">SUM(IF(Discs!B80:B366&lt;&gt;D86,0,IF(Discs!K80:K366&lt;&gt;"Crew",0,1)))</f>
        <v>0</v>
      </c>
      <c r="R86" s="12">
        <f t="array" ref="R86">SUM(IF(Discs!B80:B366&lt;&gt;D86,0,IF(Discs!K80:K366&lt;&gt;"Upgrade",0,1)))</f>
        <v>0</v>
      </c>
      <c r="S86" s="12">
        <f t="array" ref="S86">SUM(IF(Discs!B80:B366&lt;&gt;D86,0,IF(Discs!K80:K366&lt;&gt;"Personal",0,1)))</f>
        <v>0</v>
      </c>
      <c r="T86" s="7">
        <f t="array" ref="T86">SUM(IF(Discs!B80:B366&lt;&gt;D86,0,IF(Discs!K80:K366&lt;&gt;"Scenario",0,1)))</f>
        <v>0</v>
      </c>
      <c r="U86" s="7">
        <f t="shared" si="6"/>
        <v>0</v>
      </c>
      <c r="V86" s="12">
        <v>1</v>
      </c>
      <c r="W86" s="7">
        <v>0</v>
      </c>
      <c r="X86" s="7">
        <v>0</v>
      </c>
      <c r="Z86" s="8"/>
      <c r="AA86" s="8"/>
      <c r="AB86" s="8"/>
      <c r="AC86" s="8"/>
    </row>
    <row r="87" spans="1:29" ht="12" customHeight="1" x14ac:dyDescent="0.15">
      <c r="A87" s="7"/>
      <c r="B87" s="13"/>
      <c r="C87" s="13"/>
      <c r="D87" s="7">
        <v>186</v>
      </c>
      <c r="E87" s="12" t="s">
        <v>436</v>
      </c>
      <c r="F87" s="13"/>
      <c r="G87" s="12" t="s">
        <v>433</v>
      </c>
      <c r="H87" s="7" t="s">
        <v>68</v>
      </c>
      <c r="I87" s="12">
        <v>8</v>
      </c>
      <c r="J87" s="13">
        <v>3</v>
      </c>
      <c r="K87" s="336">
        <v>5</v>
      </c>
      <c r="L87" s="13" t="str">
        <f t="shared" si="5"/>
        <v/>
      </c>
      <c r="M87" s="12">
        <v>1</v>
      </c>
      <c r="N87" s="7">
        <f t="shared" si="4"/>
        <v>9</v>
      </c>
      <c r="O87" s="7"/>
      <c r="P87" s="12">
        <f t="array" ref="P87">SUM(IF(Discs!B81:B367&lt;&gt;D87,0,IF(LEFT(Discs!K81:K367,5)&lt;&gt;"Ship-",0,1)))</f>
        <v>1</v>
      </c>
      <c r="Q87" s="12">
        <f t="array" ref="Q87">SUM(IF(Discs!B81:B367&lt;&gt;D87,0,IF(Discs!K81:K367&lt;&gt;"Crew",0,1)))</f>
        <v>1</v>
      </c>
      <c r="R87" s="12">
        <f t="array" ref="R87">SUM(IF(Discs!B81:B367&lt;&gt;D87,0,IF(Discs!K81:K367&lt;&gt;"Upgrade",0,1)))</f>
        <v>1</v>
      </c>
      <c r="S87" s="12">
        <f t="array" ref="S87">SUM(IF(Discs!B81:B367&lt;&gt;D87,0,IF(Discs!K81:K367&lt;&gt;"Personal",0,1)))</f>
        <v>0</v>
      </c>
      <c r="T87" s="7">
        <f t="array" ref="T87">SUM(IF(Discs!B81:B367&lt;&gt;D87,0,IF(Discs!K81:K367&lt;&gt;"Scenario",0,1)))</f>
        <v>0</v>
      </c>
      <c r="U87" s="7">
        <f t="shared" si="6"/>
        <v>3</v>
      </c>
      <c r="V87" s="12">
        <v>3</v>
      </c>
      <c r="W87" s="12">
        <v>0</v>
      </c>
      <c r="X87" s="12">
        <v>0</v>
      </c>
      <c r="Z87" s="8"/>
      <c r="AA87" s="8"/>
      <c r="AB87" s="8"/>
      <c r="AC87" s="8"/>
    </row>
    <row r="88" spans="1:29" ht="12" customHeight="1" x14ac:dyDescent="0.15">
      <c r="A88" s="7"/>
      <c r="B88" s="13"/>
      <c r="C88" s="13"/>
      <c r="D88" s="7">
        <v>187</v>
      </c>
      <c r="E88" s="12" t="s">
        <v>436</v>
      </c>
      <c r="F88" s="13"/>
      <c r="G88" s="13" t="s">
        <v>434</v>
      </c>
      <c r="H88" s="7" t="s">
        <v>68</v>
      </c>
      <c r="I88" s="7">
        <v>7</v>
      </c>
      <c r="J88" s="13">
        <v>3</v>
      </c>
      <c r="K88" s="336">
        <v>4</v>
      </c>
      <c r="L88" s="13" t="str">
        <f t="shared" si="5"/>
        <v/>
      </c>
      <c r="M88" s="12">
        <v>1</v>
      </c>
      <c r="N88" s="7">
        <f t="shared" si="4"/>
        <v>8</v>
      </c>
      <c r="O88" s="7"/>
      <c r="P88" s="12">
        <f t="array" ref="P88">SUM(IF(Discs!B82:B368&lt;&gt;D88,0,IF(LEFT(Discs!K82:K368,5)&lt;&gt;"Ship-",0,1)))</f>
        <v>0</v>
      </c>
      <c r="Q88" s="12">
        <f t="array" ref="Q88">SUM(IF(Discs!B82:B368&lt;&gt;D88,0,IF(Discs!K82:K368&lt;&gt;"Crew",0,1)))</f>
        <v>3</v>
      </c>
      <c r="R88" s="12">
        <f t="array" ref="R88">SUM(IF(Discs!B82:B368&lt;&gt;D88,0,IF(Discs!K82:K368&lt;&gt;"Upgrade",0,1)))</f>
        <v>1</v>
      </c>
      <c r="S88" s="12">
        <f t="array" ref="S88">SUM(IF(Discs!B82:B368&lt;&gt;D88,0,IF(Discs!K82:K368&lt;&gt;"Personal",0,1)))</f>
        <v>0</v>
      </c>
      <c r="T88" s="7">
        <f t="array" ref="T88">SUM(IF(Discs!B82:B368&lt;&gt;D88,0,IF(Discs!K82:K368&lt;&gt;"Scenario",0,1)))</f>
        <v>0</v>
      </c>
      <c r="U88" s="7">
        <f t="shared" si="6"/>
        <v>4</v>
      </c>
      <c r="V88" s="12">
        <v>0</v>
      </c>
      <c r="W88" s="12">
        <v>0</v>
      </c>
      <c r="X88" s="12">
        <v>0</v>
      </c>
      <c r="Z88" s="8"/>
      <c r="AA88" s="8"/>
      <c r="AB88" s="8"/>
      <c r="AC88" s="8"/>
    </row>
    <row r="89" spans="1:29" x14ac:dyDescent="0.15">
      <c r="A89" s="7"/>
      <c r="B89" s="12"/>
      <c r="C89" s="12"/>
      <c r="D89" s="7">
        <v>188</v>
      </c>
      <c r="E89" s="12" t="s">
        <v>436</v>
      </c>
      <c r="F89" s="13"/>
      <c r="G89" s="7" t="s">
        <v>22</v>
      </c>
      <c r="H89" s="7" t="s">
        <v>68</v>
      </c>
      <c r="I89" s="7">
        <v>6</v>
      </c>
      <c r="J89" s="13">
        <v>3</v>
      </c>
      <c r="K89" s="336">
        <v>3</v>
      </c>
      <c r="L89" s="13" t="str">
        <f t="shared" si="5"/>
        <v/>
      </c>
      <c r="M89" s="12">
        <v>3</v>
      </c>
      <c r="N89" s="7">
        <f t="shared" si="4"/>
        <v>9</v>
      </c>
      <c r="O89" s="7"/>
      <c r="P89" s="12">
        <f t="array" ref="P89">SUM(IF(Discs!B83:B369&lt;&gt;D89,0,IF(LEFT(Discs!K83:K369,5)&lt;&gt;"Ship-",0,1)))</f>
        <v>0</v>
      </c>
      <c r="Q89" s="12">
        <f t="array" ref="Q89">SUM(IF(Discs!B83:B369&lt;&gt;D89,0,IF(Discs!K83:K369&lt;&gt;"Crew",0,1)))</f>
        <v>0</v>
      </c>
      <c r="R89" s="12">
        <f t="array" ref="R89">SUM(IF(Discs!B83:B369&lt;&gt;D89,0,IF(Discs!K83:K369&lt;&gt;"Upgrade",0,1)))</f>
        <v>0</v>
      </c>
      <c r="S89" s="12">
        <f t="array" ref="S89">SUM(IF(Discs!B83:B369&lt;&gt;D89,0,IF(Discs!K83:K369&lt;&gt;"Personal",0,1)))</f>
        <v>0</v>
      </c>
      <c r="T89" s="7">
        <f t="array" ref="T89">SUM(IF(Discs!B83:B369&lt;&gt;D89,0,IF(Discs!K83:K369&lt;&gt;"Scenario",0,1)))</f>
        <v>1</v>
      </c>
      <c r="U89" s="7">
        <f t="shared" si="6"/>
        <v>1</v>
      </c>
      <c r="V89" s="12">
        <v>0</v>
      </c>
      <c r="W89" s="12">
        <v>2</v>
      </c>
      <c r="X89" s="12">
        <v>0</v>
      </c>
      <c r="Z89" s="12">
        <v>2</v>
      </c>
      <c r="AA89" s="12" t="s">
        <v>245</v>
      </c>
      <c r="AB89" s="4" t="s">
        <v>252</v>
      </c>
      <c r="AC89" s="7">
        <v>100</v>
      </c>
    </row>
    <row r="90" spans="1:29" ht="12" customHeight="1" x14ac:dyDescent="0.15">
      <c r="A90" s="7"/>
      <c r="D90" s="7">
        <v>189</v>
      </c>
      <c r="E90" s="12" t="s">
        <v>436</v>
      </c>
      <c r="F90" s="13"/>
      <c r="G90" s="7" t="s">
        <v>402</v>
      </c>
      <c r="H90" s="7" t="s">
        <v>68</v>
      </c>
      <c r="I90" s="7">
        <v>7</v>
      </c>
      <c r="J90" s="13">
        <v>3</v>
      </c>
      <c r="K90" s="336">
        <v>4</v>
      </c>
      <c r="L90" s="13" t="str">
        <f t="shared" si="5"/>
        <v/>
      </c>
      <c r="M90" s="12">
        <v>1</v>
      </c>
      <c r="N90" s="7">
        <f t="shared" si="4"/>
        <v>8</v>
      </c>
      <c r="O90" s="7"/>
      <c r="P90" s="12">
        <f t="array" ref="P90">SUM(IF(Discs!B84:B370&lt;&gt;D90,0,IF(LEFT(Discs!K84:K370,5)&lt;&gt;"Ship-",0,1)))</f>
        <v>0</v>
      </c>
      <c r="Q90" s="12">
        <f t="array" ref="Q90">SUM(IF(Discs!B84:B370&lt;&gt;D90,0,IF(Discs!K84:K370&lt;&gt;"Crew",0,1)))</f>
        <v>0</v>
      </c>
      <c r="R90" s="12">
        <f t="array" ref="R90">SUM(IF(Discs!B84:B370&lt;&gt;D90,0,IF(Discs!K84:K370&lt;&gt;"Upgrade",0,1)))</f>
        <v>0</v>
      </c>
      <c r="S90" s="12">
        <f t="array" ref="S90">SUM(IF(Discs!B84:B370&lt;&gt;D90,0,IF(Discs!K84:K370&lt;&gt;"Personal",0,1)))</f>
        <v>0</v>
      </c>
      <c r="T90" s="7">
        <f t="array" ref="T90">SUM(IF(Discs!B84:B370&lt;&gt;D90,0,IF(Discs!K84:K370&lt;&gt;"Scenario",0,1)))</f>
        <v>0</v>
      </c>
      <c r="U90" s="7">
        <f t="shared" si="6"/>
        <v>0</v>
      </c>
      <c r="V90" s="12">
        <v>4</v>
      </c>
      <c r="W90" s="12">
        <v>0</v>
      </c>
      <c r="X90" s="7">
        <v>0</v>
      </c>
      <c r="Z90" s="8"/>
      <c r="AA90" s="8"/>
      <c r="AB90" s="8"/>
      <c r="AC90" s="8"/>
    </row>
    <row r="91" spans="1:29" ht="12" customHeight="1" x14ac:dyDescent="0.15">
      <c r="A91" s="7"/>
      <c r="D91" s="7">
        <v>190</v>
      </c>
      <c r="E91" s="12" t="s">
        <v>436</v>
      </c>
      <c r="F91" s="13"/>
      <c r="G91" s="7" t="s">
        <v>402</v>
      </c>
      <c r="H91" s="7" t="s">
        <v>68</v>
      </c>
      <c r="I91" s="12">
        <v>6</v>
      </c>
      <c r="J91" s="13">
        <v>3</v>
      </c>
      <c r="K91" s="336">
        <v>3</v>
      </c>
      <c r="L91" s="13" t="str">
        <f t="shared" si="5"/>
        <v/>
      </c>
      <c r="M91" s="12">
        <v>0</v>
      </c>
      <c r="N91" s="7">
        <f t="shared" si="4"/>
        <v>6</v>
      </c>
      <c r="O91" s="7"/>
      <c r="P91" s="12">
        <f t="array" ref="P91">SUM(IF(Discs!B85:B371&lt;&gt;D91,0,IF(LEFT(Discs!K85:K371,5)&lt;&gt;"Ship-",0,1)))</f>
        <v>0</v>
      </c>
      <c r="Q91" s="12">
        <f t="array" ref="Q91">SUM(IF(Discs!B85:B371&lt;&gt;D91,0,IF(Discs!K85:K371&lt;&gt;"Crew",0,1)))</f>
        <v>0</v>
      </c>
      <c r="R91" s="12">
        <f t="array" ref="R91">SUM(IF(Discs!B85:B371&lt;&gt;D91,0,IF(Discs!K85:K371&lt;&gt;"Upgrade",0,1)))</f>
        <v>0</v>
      </c>
      <c r="S91" s="12">
        <f t="array" ref="S91">SUM(IF(Discs!B85:B371&lt;&gt;D91,0,IF(Discs!K85:K371&lt;&gt;"Personal",0,1)))</f>
        <v>0</v>
      </c>
      <c r="T91" s="7">
        <f t="array" ref="T91">SUM(IF(Discs!B85:B371&lt;&gt;D91,0,IF(Discs!K85:K371&lt;&gt;"Scenario",0,1)))</f>
        <v>0</v>
      </c>
      <c r="U91" s="7">
        <f t="shared" si="6"/>
        <v>0</v>
      </c>
      <c r="V91" s="12">
        <v>1</v>
      </c>
      <c r="W91" s="7">
        <v>0</v>
      </c>
      <c r="X91" s="7">
        <v>0</v>
      </c>
      <c r="Z91" s="8"/>
      <c r="AA91" s="8"/>
      <c r="AB91" s="8"/>
      <c r="AC91" s="8"/>
    </row>
    <row r="92" spans="1:29" ht="12" customHeight="1" x14ac:dyDescent="0.15">
      <c r="A92" s="7"/>
      <c r="D92" s="7">
        <v>191</v>
      </c>
      <c r="E92" s="12" t="s">
        <v>436</v>
      </c>
      <c r="F92" s="13" t="s">
        <v>4</v>
      </c>
      <c r="G92" s="12" t="s">
        <v>433</v>
      </c>
      <c r="H92" s="7" t="s">
        <v>3</v>
      </c>
      <c r="I92" s="7">
        <v>5</v>
      </c>
      <c r="J92" s="13">
        <v>3</v>
      </c>
      <c r="K92" s="336">
        <v>2</v>
      </c>
      <c r="L92" s="13" t="str">
        <f t="shared" si="5"/>
        <v/>
      </c>
      <c r="M92" s="12">
        <v>0</v>
      </c>
      <c r="N92" s="7">
        <f t="shared" si="4"/>
        <v>5</v>
      </c>
      <c r="O92" s="7"/>
      <c r="P92" s="12">
        <f t="array" ref="P92">SUM(IF(Discs!B86:B372&lt;&gt;D92,0,IF(LEFT(Discs!K86:K372,5)&lt;&gt;"Ship-",0,1)))</f>
        <v>1</v>
      </c>
      <c r="Q92" s="12">
        <f t="array" ref="Q92">SUM(IF(Discs!B86:B372&lt;&gt;D92,0,IF(Discs!K86:K372&lt;&gt;"Crew",0,1)))</f>
        <v>1</v>
      </c>
      <c r="R92" s="12">
        <f t="array" ref="R92">SUM(IF(Discs!B86:B372&lt;&gt;D92,0,IF(Discs!K86:K372&lt;&gt;"Upgrade",0,1)))</f>
        <v>1</v>
      </c>
      <c r="S92" s="12">
        <f t="array" ref="S92">SUM(IF(Discs!B86:B372&lt;&gt;D92,0,IF(Discs!K86:K372&lt;&gt;"Personal",0,1)))</f>
        <v>0</v>
      </c>
      <c r="T92" s="7">
        <f t="array" ref="T92">SUM(IF(Discs!B86:B372&lt;&gt;D92,0,IF(Discs!K86:K372&lt;&gt;"Scenario",0,1)))</f>
        <v>0</v>
      </c>
      <c r="U92" s="7">
        <f t="shared" si="6"/>
        <v>3</v>
      </c>
      <c r="V92" s="12">
        <v>3</v>
      </c>
      <c r="W92" s="12">
        <v>0</v>
      </c>
      <c r="X92" s="12">
        <v>0</v>
      </c>
      <c r="Z92" s="8"/>
      <c r="AA92" s="8"/>
      <c r="AB92" s="8"/>
      <c r="AC92" s="8"/>
    </row>
    <row r="93" spans="1:29" ht="12" customHeight="1" x14ac:dyDescent="0.15">
      <c r="A93" s="7"/>
      <c r="D93" s="7">
        <v>192</v>
      </c>
      <c r="E93" s="12" t="s">
        <v>436</v>
      </c>
      <c r="F93" s="13"/>
      <c r="G93" s="13" t="s">
        <v>434</v>
      </c>
      <c r="H93" s="7" t="s">
        <v>3</v>
      </c>
      <c r="I93" s="7">
        <v>4</v>
      </c>
      <c r="J93" s="13">
        <v>3</v>
      </c>
      <c r="K93" s="336">
        <v>1</v>
      </c>
      <c r="L93" s="13" t="str">
        <f t="shared" si="5"/>
        <v/>
      </c>
      <c r="M93" s="12">
        <v>0</v>
      </c>
      <c r="N93" s="7">
        <f t="shared" si="4"/>
        <v>4</v>
      </c>
      <c r="O93" s="7"/>
      <c r="P93" s="12">
        <f t="array" ref="P93">SUM(IF(Discs!B87:B373&lt;&gt;D93,0,IF(LEFT(Discs!K87:K373,5)&lt;&gt;"Ship-",0,1)))</f>
        <v>0</v>
      </c>
      <c r="Q93" s="12">
        <f t="array" ref="Q93">SUM(IF(Discs!B87:B373&lt;&gt;D93,0,IF(Discs!K87:K373&lt;&gt;"Crew",0,1)))</f>
        <v>3</v>
      </c>
      <c r="R93" s="12">
        <f t="array" ref="R93">SUM(IF(Discs!B87:B373&lt;&gt;D93,0,IF(Discs!K87:K373&lt;&gt;"Upgrade",0,1)))</f>
        <v>1</v>
      </c>
      <c r="S93" s="12">
        <f t="array" ref="S93">SUM(IF(Discs!B87:B373&lt;&gt;D93,0,IF(Discs!K87:K373&lt;&gt;"Personal",0,1)))</f>
        <v>0</v>
      </c>
      <c r="T93" s="7">
        <f t="array" ref="T93">SUM(IF(Discs!B87:B373&lt;&gt;D93,0,IF(Discs!K87:K373&lt;&gt;"Scenario",0,1)))</f>
        <v>0</v>
      </c>
      <c r="U93" s="7">
        <f t="shared" si="6"/>
        <v>4</v>
      </c>
      <c r="V93" s="12">
        <v>0</v>
      </c>
      <c r="W93" s="12">
        <v>0</v>
      </c>
      <c r="X93" s="12">
        <v>0</v>
      </c>
      <c r="Z93" s="8"/>
      <c r="AA93" s="8"/>
      <c r="AB93" s="8"/>
      <c r="AC93" s="8"/>
    </row>
    <row r="94" spans="1:29" ht="12" customHeight="1" x14ac:dyDescent="0.15">
      <c r="A94" s="7"/>
      <c r="C94" s="12"/>
      <c r="D94" s="7">
        <v>193</v>
      </c>
      <c r="E94" s="12" t="s">
        <v>436</v>
      </c>
      <c r="F94" s="13"/>
      <c r="G94" s="7" t="s">
        <v>22</v>
      </c>
      <c r="H94" s="7" t="s">
        <v>3</v>
      </c>
      <c r="I94" s="7">
        <v>9</v>
      </c>
      <c r="J94" s="13">
        <v>3</v>
      </c>
      <c r="K94" s="336">
        <v>6</v>
      </c>
      <c r="L94" s="13" t="str">
        <f t="shared" si="5"/>
        <v/>
      </c>
      <c r="M94" s="12">
        <v>0</v>
      </c>
      <c r="N94" s="7">
        <f t="shared" si="4"/>
        <v>9</v>
      </c>
      <c r="O94" s="7"/>
      <c r="P94" s="12">
        <f t="array" ref="P94">SUM(IF(Discs!B88:B374&lt;&gt;D94,0,IF(LEFT(Discs!K88:K374,5)&lt;&gt;"Ship-",0,1)))</f>
        <v>0</v>
      </c>
      <c r="Q94" s="12">
        <f t="array" ref="Q94">SUM(IF(Discs!B88:B374&lt;&gt;D94,0,IF(Discs!K88:K374&lt;&gt;"Crew",0,1)))</f>
        <v>0</v>
      </c>
      <c r="R94" s="12">
        <f t="array" ref="R94">SUM(IF(Discs!B88:B374&lt;&gt;D94,0,IF(Discs!K88:K374&lt;&gt;"Upgrade",0,1)))</f>
        <v>0</v>
      </c>
      <c r="S94" s="12">
        <f t="array" ref="S94">SUM(IF(Discs!B88:B374&lt;&gt;D94,0,IF(Discs!K88:K374&lt;&gt;"Personal",0,1)))</f>
        <v>0</v>
      </c>
      <c r="T94" s="7">
        <f t="array" ref="T94">SUM(IF(Discs!B88:B374&lt;&gt;D94,0,IF(Discs!K88:K374&lt;&gt;"Scenario",0,1)))</f>
        <v>1</v>
      </c>
      <c r="U94" s="7">
        <f t="shared" si="6"/>
        <v>1</v>
      </c>
      <c r="V94" s="12">
        <v>0</v>
      </c>
      <c r="W94" s="12">
        <v>2</v>
      </c>
      <c r="X94" s="12">
        <v>0</v>
      </c>
      <c r="Z94" s="12">
        <v>2</v>
      </c>
      <c r="AA94" s="12">
        <v>2</v>
      </c>
      <c r="AB94" s="4" t="s">
        <v>250</v>
      </c>
      <c r="AC94" s="12">
        <v>60</v>
      </c>
    </row>
    <row r="95" spans="1:29" ht="12" customHeight="1" x14ac:dyDescent="0.15">
      <c r="A95" s="7"/>
      <c r="D95" s="7">
        <v>194</v>
      </c>
      <c r="E95" s="12" t="s">
        <v>436</v>
      </c>
      <c r="F95" s="13"/>
      <c r="G95" s="7" t="s">
        <v>402</v>
      </c>
      <c r="H95" s="7" t="s">
        <v>3</v>
      </c>
      <c r="I95" s="7">
        <v>4</v>
      </c>
      <c r="J95" s="13">
        <v>3</v>
      </c>
      <c r="K95" s="336">
        <v>1</v>
      </c>
      <c r="L95" s="13" t="str">
        <f t="shared" si="5"/>
        <v/>
      </c>
      <c r="M95" s="12">
        <v>0</v>
      </c>
      <c r="N95" s="7">
        <f t="shared" si="4"/>
        <v>4</v>
      </c>
      <c r="O95" s="7"/>
      <c r="P95" s="12">
        <f t="array" ref="P95">SUM(IF(Discs!B89:B375&lt;&gt;D95,0,IF(LEFT(Discs!K89:K375,5)&lt;&gt;"Ship-",0,1)))</f>
        <v>0</v>
      </c>
      <c r="Q95" s="12">
        <f t="array" ref="Q95">SUM(IF(Discs!B89:B375&lt;&gt;D95,0,IF(Discs!K89:K375&lt;&gt;"Crew",0,1)))</f>
        <v>0</v>
      </c>
      <c r="R95" s="12">
        <f t="array" ref="R95">SUM(IF(Discs!B89:B375&lt;&gt;D95,0,IF(Discs!K89:K375&lt;&gt;"Upgrade",0,1)))</f>
        <v>0</v>
      </c>
      <c r="S95" s="12">
        <f t="array" ref="S95">SUM(IF(Discs!B89:B375&lt;&gt;D95,0,IF(Discs!K89:K375&lt;&gt;"Personal",0,1)))</f>
        <v>0</v>
      </c>
      <c r="T95" s="7">
        <f t="array" ref="T95">SUM(IF(Discs!B89:B375&lt;&gt;D95,0,IF(Discs!K89:K375&lt;&gt;"Scenario",0,1)))</f>
        <v>0</v>
      </c>
      <c r="U95" s="7">
        <f t="shared" si="6"/>
        <v>0</v>
      </c>
      <c r="V95" s="12">
        <v>4</v>
      </c>
      <c r="W95" s="12">
        <v>0</v>
      </c>
      <c r="X95" s="7">
        <v>0</v>
      </c>
      <c r="Z95" s="8"/>
      <c r="AA95" s="8"/>
      <c r="AB95" s="8"/>
      <c r="AC95" s="8"/>
    </row>
    <row r="96" spans="1:29" ht="16" x14ac:dyDescent="0.2">
      <c r="A96" s="7"/>
      <c r="B96" s="12"/>
      <c r="C96" s="165" t="s">
        <v>652</v>
      </c>
      <c r="D96" s="7">
        <v>195</v>
      </c>
      <c r="E96" s="12" t="s">
        <v>436</v>
      </c>
      <c r="F96" s="13"/>
      <c r="G96" s="7" t="s">
        <v>402</v>
      </c>
      <c r="H96" s="7" t="s">
        <v>3</v>
      </c>
      <c r="I96" s="7">
        <v>3</v>
      </c>
      <c r="J96" s="13">
        <v>3</v>
      </c>
      <c r="K96" s="336">
        <v>0</v>
      </c>
      <c r="L96" s="13" t="str">
        <f t="shared" si="5"/>
        <v/>
      </c>
      <c r="M96" s="12">
        <v>0</v>
      </c>
      <c r="N96" s="7">
        <f t="shared" si="4"/>
        <v>3</v>
      </c>
      <c r="O96" s="7"/>
      <c r="P96" s="12">
        <f t="array" ref="P96">SUM(IF(Discs!B90:B376&lt;&gt;D96,0,IF(LEFT(Discs!K90:K376,5)&lt;&gt;"Ship-",0,1)))</f>
        <v>0</v>
      </c>
      <c r="Q96" s="12">
        <f t="array" ref="Q96">SUM(IF(Discs!B90:B376&lt;&gt;D96,0,IF(Discs!K90:K376&lt;&gt;"Crew",0,1)))</f>
        <v>0</v>
      </c>
      <c r="R96" s="12">
        <f t="array" ref="R96">SUM(IF(Discs!B90:B376&lt;&gt;D96,0,IF(Discs!K90:K376&lt;&gt;"Upgrade",0,1)))</f>
        <v>0</v>
      </c>
      <c r="S96" s="12">
        <f t="array" ref="S96">SUM(IF(Discs!B90:B376&lt;&gt;D96,0,IF(Discs!K90:K376&lt;&gt;"Personal",0,1)))</f>
        <v>0</v>
      </c>
      <c r="T96" s="7">
        <f t="array" ref="T96">SUM(IF(Discs!B90:B376&lt;&gt;D96,0,IF(Discs!K90:K376&lt;&gt;"Scenario",0,1)))</f>
        <v>0</v>
      </c>
      <c r="U96" s="7">
        <f t="shared" si="6"/>
        <v>0</v>
      </c>
      <c r="V96" s="12">
        <v>1</v>
      </c>
      <c r="W96" s="7">
        <v>0</v>
      </c>
      <c r="X96" s="7">
        <v>0</v>
      </c>
      <c r="Z96" s="8"/>
      <c r="AA96" s="8"/>
      <c r="AB96" s="8"/>
      <c r="AC96" s="8"/>
    </row>
    <row r="97" spans="1:29" x14ac:dyDescent="0.15">
      <c r="A97" s="7"/>
      <c r="B97" s="12"/>
      <c r="C97" s="12"/>
      <c r="D97" s="7">
        <v>196</v>
      </c>
      <c r="E97" s="12" t="s">
        <v>436</v>
      </c>
      <c r="F97" s="13" t="s">
        <v>4</v>
      </c>
      <c r="G97" s="12" t="s">
        <v>433</v>
      </c>
      <c r="H97" s="7" t="s">
        <v>33</v>
      </c>
      <c r="I97" s="7">
        <v>6</v>
      </c>
      <c r="J97" s="13">
        <v>3</v>
      </c>
      <c r="K97" s="336">
        <v>3</v>
      </c>
      <c r="L97" s="13" t="str">
        <f t="shared" si="5"/>
        <v/>
      </c>
      <c r="M97" s="12">
        <v>1</v>
      </c>
      <c r="N97" s="7">
        <f t="shared" si="4"/>
        <v>7</v>
      </c>
      <c r="O97" s="7"/>
      <c r="P97" s="12">
        <f t="array" ref="P97">SUM(IF(Discs!B91:B377&lt;&gt;D97,0,IF(LEFT(Discs!K91:K377,5)&lt;&gt;"Ship-",0,1)))</f>
        <v>1</v>
      </c>
      <c r="Q97" s="12">
        <f t="array" ref="Q97">SUM(IF(Discs!B91:B377&lt;&gt;D97,0,IF(Discs!K91:K377&lt;&gt;"Crew",0,1)))</f>
        <v>1</v>
      </c>
      <c r="R97" s="12">
        <f t="array" ref="R97">SUM(IF(Discs!B91:B377&lt;&gt;D97,0,IF(Discs!K91:K377&lt;&gt;"Upgrade",0,1)))</f>
        <v>1</v>
      </c>
      <c r="S97" s="12">
        <f t="array" ref="S97">SUM(IF(Discs!B91:B377&lt;&gt;D97,0,IF(Discs!K91:K377&lt;&gt;"Personal",0,1)))</f>
        <v>0</v>
      </c>
      <c r="T97" s="7">
        <f t="array" ref="T97">SUM(IF(Discs!B91:B377&lt;&gt;D97,0,IF(Discs!K91:K377&lt;&gt;"Scenario",0,1)))</f>
        <v>0</v>
      </c>
      <c r="U97" s="7">
        <f t="shared" si="6"/>
        <v>3</v>
      </c>
      <c r="V97" s="12">
        <v>3</v>
      </c>
      <c r="W97" s="12">
        <v>0</v>
      </c>
      <c r="X97" s="12">
        <v>0</v>
      </c>
      <c r="Z97" s="8"/>
      <c r="AA97" s="8"/>
      <c r="AB97" s="8"/>
      <c r="AC97" s="8"/>
    </row>
    <row r="98" spans="1:29" x14ac:dyDescent="0.15">
      <c r="A98" s="7"/>
      <c r="B98" s="12"/>
      <c r="C98" s="12"/>
      <c r="D98" s="7">
        <v>197</v>
      </c>
      <c r="E98" s="12" t="s">
        <v>436</v>
      </c>
      <c r="F98" s="13"/>
      <c r="G98" s="13" t="s">
        <v>434</v>
      </c>
      <c r="H98" s="7" t="s">
        <v>33</v>
      </c>
      <c r="I98" s="7">
        <v>6</v>
      </c>
      <c r="J98" s="13">
        <v>3</v>
      </c>
      <c r="K98" s="336">
        <v>3</v>
      </c>
      <c r="L98" s="13" t="str">
        <f t="shared" si="5"/>
        <v/>
      </c>
      <c r="M98" s="12">
        <v>1</v>
      </c>
      <c r="N98" s="7">
        <f t="shared" ref="N98:N101" si="7">I98+M98</f>
        <v>7</v>
      </c>
      <c r="O98" s="7"/>
      <c r="P98" s="12">
        <f t="array" ref="P98">SUM(IF(Discs!B92:B378&lt;&gt;D98,0,IF(LEFT(Discs!K92:K378,5)&lt;&gt;"Ship-",0,1)))</f>
        <v>0</v>
      </c>
      <c r="Q98" s="12">
        <f t="array" ref="Q98">SUM(IF(Discs!B92:B378&lt;&gt;D98,0,IF(Discs!K92:K378&lt;&gt;"Crew",0,1)))</f>
        <v>3</v>
      </c>
      <c r="R98" s="12">
        <f t="array" ref="R98">SUM(IF(Discs!B92:B378&lt;&gt;D98,0,IF(Discs!K92:K378&lt;&gt;"Upgrade",0,1)))</f>
        <v>1</v>
      </c>
      <c r="S98" s="12">
        <f t="array" ref="S98">SUM(IF(Discs!B92:B378&lt;&gt;D98,0,IF(Discs!K92:K378&lt;&gt;"Personal",0,1)))</f>
        <v>0</v>
      </c>
      <c r="T98" s="7">
        <f t="array" ref="T98">SUM(IF(Discs!B92:B378&lt;&gt;D98,0,IF(Discs!K92:K378&lt;&gt;"Scenario",0,1)))</f>
        <v>0</v>
      </c>
      <c r="U98" s="7">
        <f t="shared" si="6"/>
        <v>4</v>
      </c>
      <c r="V98" s="12">
        <v>0</v>
      </c>
      <c r="W98" s="12">
        <v>0</v>
      </c>
      <c r="X98" s="12">
        <v>0</v>
      </c>
      <c r="Z98" s="8"/>
      <c r="AA98" s="8"/>
      <c r="AB98" s="8"/>
      <c r="AC98" s="8"/>
    </row>
    <row r="99" spans="1:29" x14ac:dyDescent="0.15">
      <c r="A99" s="7"/>
      <c r="B99" s="12"/>
      <c r="C99" s="12"/>
      <c r="D99" s="7">
        <v>198</v>
      </c>
      <c r="E99" s="12" t="s">
        <v>436</v>
      </c>
      <c r="F99" s="13"/>
      <c r="G99" s="7" t="s">
        <v>22</v>
      </c>
      <c r="H99" s="7" t="s">
        <v>33</v>
      </c>
      <c r="I99" s="7">
        <v>7</v>
      </c>
      <c r="J99" s="13">
        <v>3</v>
      </c>
      <c r="K99" s="336">
        <v>4</v>
      </c>
      <c r="L99" s="13" t="str">
        <f t="shared" si="5"/>
        <v/>
      </c>
      <c r="M99" s="12">
        <v>1</v>
      </c>
      <c r="N99" s="7">
        <f t="shared" si="7"/>
        <v>8</v>
      </c>
      <c r="O99" s="7"/>
      <c r="P99" s="12">
        <f t="array" ref="P99">SUM(IF(Discs!B93:B379&lt;&gt;D99,0,IF(LEFT(Discs!K93:K379,5)&lt;&gt;"Ship-",0,1)))</f>
        <v>0</v>
      </c>
      <c r="Q99" s="12">
        <f t="array" ref="Q99">SUM(IF(Discs!B93:B379&lt;&gt;D99,0,IF(Discs!K93:K379&lt;&gt;"Crew",0,1)))</f>
        <v>0</v>
      </c>
      <c r="R99" s="12">
        <f t="array" ref="R99">SUM(IF(Discs!B93:B379&lt;&gt;D99,0,IF(Discs!K93:K379&lt;&gt;"Upgrade",0,1)))</f>
        <v>0</v>
      </c>
      <c r="S99" s="12">
        <f t="array" ref="S99">SUM(IF(Discs!B93:B379&lt;&gt;D99,0,IF(Discs!K93:K379&lt;&gt;"Personal",0,1)))</f>
        <v>0</v>
      </c>
      <c r="T99" s="7">
        <f t="array" ref="T99">SUM(IF(Discs!B93:B379&lt;&gt;D99,0,IF(Discs!K93:K379&lt;&gt;"Scenario",0,1)))</f>
        <v>1</v>
      </c>
      <c r="U99" s="7">
        <f t="shared" si="6"/>
        <v>1</v>
      </c>
      <c r="V99" s="12">
        <v>0</v>
      </c>
      <c r="W99" s="12">
        <v>2</v>
      </c>
      <c r="X99" s="12">
        <v>0</v>
      </c>
      <c r="Z99" s="12">
        <v>2</v>
      </c>
      <c r="AA99" s="12">
        <v>2</v>
      </c>
      <c r="AB99" s="4" t="s">
        <v>251</v>
      </c>
      <c r="AC99" s="12">
        <v>55</v>
      </c>
    </row>
    <row r="100" spans="1:29" x14ac:dyDescent="0.15">
      <c r="A100" s="7"/>
      <c r="B100" s="12"/>
      <c r="D100" s="7">
        <v>199</v>
      </c>
      <c r="E100" s="12" t="s">
        <v>436</v>
      </c>
      <c r="F100" s="13"/>
      <c r="G100" s="7" t="s">
        <v>402</v>
      </c>
      <c r="H100" s="7" t="s">
        <v>33</v>
      </c>
      <c r="I100" s="7">
        <v>5</v>
      </c>
      <c r="J100" s="13">
        <v>3</v>
      </c>
      <c r="K100" s="336">
        <v>2</v>
      </c>
      <c r="L100" s="13" t="str">
        <f t="shared" si="5"/>
        <v/>
      </c>
      <c r="M100" s="12">
        <v>1</v>
      </c>
      <c r="N100" s="7">
        <f t="shared" si="7"/>
        <v>6</v>
      </c>
      <c r="O100" s="7"/>
      <c r="P100" s="12">
        <f t="array" ref="P100">SUM(IF(Discs!B94:B380&lt;&gt;D100,0,IF(LEFT(Discs!K94:K380,5)&lt;&gt;"Ship-",0,1)))</f>
        <v>0</v>
      </c>
      <c r="Q100" s="12">
        <f t="array" ref="Q100">SUM(IF(Discs!B94:B380&lt;&gt;D100,0,IF(Discs!K94:K380&lt;&gt;"Crew",0,1)))</f>
        <v>0</v>
      </c>
      <c r="R100" s="12">
        <f t="array" ref="R100">SUM(IF(Discs!B94:B380&lt;&gt;D100,0,IF(Discs!K94:K380&lt;&gt;"Upgrade",0,1)))</f>
        <v>0</v>
      </c>
      <c r="S100" s="12">
        <f t="array" ref="S100">SUM(IF(Discs!B94:B380&lt;&gt;D100,0,IF(Discs!K94:K380&lt;&gt;"Personal",0,1)))</f>
        <v>0</v>
      </c>
      <c r="T100" s="7">
        <f t="array" ref="T100">SUM(IF(Discs!B94:B380&lt;&gt;D100,0,IF(Discs!K94:K380&lt;&gt;"Scenario",0,1)))</f>
        <v>0</v>
      </c>
      <c r="U100" s="7">
        <f t="shared" si="6"/>
        <v>0</v>
      </c>
      <c r="V100" s="12">
        <v>4</v>
      </c>
      <c r="W100" s="12">
        <v>0</v>
      </c>
      <c r="X100" s="7">
        <v>0</v>
      </c>
      <c r="Z100" s="8"/>
      <c r="AA100" s="8"/>
      <c r="AB100" s="8"/>
      <c r="AC100" s="8"/>
    </row>
    <row r="101" spans="1:29" s="312" customFormat="1" ht="14" thickBot="1" x14ac:dyDescent="0.2">
      <c r="A101" s="310"/>
      <c r="B101" s="311"/>
      <c r="C101" s="311"/>
      <c r="D101" s="310">
        <v>100</v>
      </c>
      <c r="E101" s="311" t="s">
        <v>436</v>
      </c>
      <c r="F101" s="23"/>
      <c r="G101" s="310" t="s">
        <v>402</v>
      </c>
      <c r="H101" s="310" t="s">
        <v>33</v>
      </c>
      <c r="I101" s="310">
        <v>6</v>
      </c>
      <c r="J101" s="23">
        <v>3</v>
      </c>
      <c r="K101" s="337">
        <v>3</v>
      </c>
      <c r="L101" s="23" t="str">
        <f t="shared" si="5"/>
        <v/>
      </c>
      <c r="M101" s="311">
        <v>1</v>
      </c>
      <c r="N101" s="310">
        <f t="shared" si="7"/>
        <v>7</v>
      </c>
      <c r="O101" s="310"/>
      <c r="P101" s="311">
        <f t="array" ref="P101">SUM(IF(Discs!B95:B381&lt;&gt;D101,0,IF(LEFT(Discs!K95:K381,5)&lt;&gt;"Ship-",0,1)))</f>
        <v>0</v>
      </c>
      <c r="Q101" s="311">
        <f t="array" ref="Q101">SUM(IF(Discs!B95:B381&lt;&gt;D101,0,IF(Discs!K95:K381&lt;&gt;"Crew",0,1)))</f>
        <v>0</v>
      </c>
      <c r="R101" s="311">
        <f t="array" ref="R101">SUM(IF(Discs!B95:B381&lt;&gt;D101,0,IF(Discs!K95:K381&lt;&gt;"Upgrade",0,1)))</f>
        <v>0</v>
      </c>
      <c r="S101" s="311">
        <f t="array" ref="S101">SUM(IF(Discs!B95:B381&lt;&gt;D101,0,IF(Discs!K95:K381&lt;&gt;"Personal",0,1)))</f>
        <v>0</v>
      </c>
      <c r="T101" s="310">
        <f t="array" ref="T101">SUM(IF(Discs!B95:B381&lt;&gt;D101,0,IF(Discs!K95:K381&lt;&gt;"Scenario",0,1)))</f>
        <v>0</v>
      </c>
      <c r="U101" s="310">
        <f t="shared" si="6"/>
        <v>0</v>
      </c>
      <c r="V101" s="311">
        <v>1</v>
      </c>
      <c r="W101" s="310">
        <v>0</v>
      </c>
      <c r="X101" s="310">
        <v>0</v>
      </c>
    </row>
    <row r="102" spans="1:29" x14ac:dyDescent="0.15">
      <c r="A102" s="7"/>
      <c r="M102" s="7"/>
      <c r="N102" s="7"/>
      <c r="O102" s="7"/>
      <c r="P102" s="7"/>
      <c r="Q102" s="7"/>
      <c r="R102" s="7"/>
      <c r="S102" s="7"/>
      <c r="T102" s="7"/>
      <c r="U102" s="7"/>
      <c r="V102" s="7"/>
      <c r="W102" s="7"/>
      <c r="X102" s="7"/>
      <c r="Z102" s="8"/>
      <c r="AA102" s="8"/>
      <c r="AB102" s="8"/>
      <c r="AC102" s="8"/>
    </row>
    <row r="103" spans="1:29" x14ac:dyDescent="0.15">
      <c r="A103" s="7"/>
      <c r="D103" s="12" t="s">
        <v>438</v>
      </c>
      <c r="I103" s="12">
        <f t="shared" ref="I103:N103" si="8">SUM(I2:I101)</f>
        <v>856</v>
      </c>
      <c r="J103" s="12">
        <f t="shared" si="8"/>
        <v>300</v>
      </c>
      <c r="K103" s="12">
        <f t="shared" si="8"/>
        <v>556</v>
      </c>
      <c r="L103" s="12">
        <f t="shared" si="8"/>
        <v>0</v>
      </c>
      <c r="M103" s="12">
        <f t="shared" si="8"/>
        <v>166</v>
      </c>
      <c r="N103" s="12">
        <f t="shared" si="8"/>
        <v>1022</v>
      </c>
      <c r="O103" s="7"/>
      <c r="P103" s="12">
        <f>SUM(P2:P101)</f>
        <v>32</v>
      </c>
      <c r="Q103" s="12">
        <f t="shared" ref="Q103:X103" si="9">SUM(Q2:Q101)</f>
        <v>121</v>
      </c>
      <c r="R103" s="12">
        <f t="shared" si="9"/>
        <v>61</v>
      </c>
      <c r="S103" s="12">
        <f t="shared" si="9"/>
        <v>6</v>
      </c>
      <c r="T103" s="12">
        <f t="shared" si="9"/>
        <v>20</v>
      </c>
      <c r="U103" s="12">
        <f t="shared" si="9"/>
        <v>240</v>
      </c>
      <c r="V103" s="12">
        <f t="shared" si="9"/>
        <v>139</v>
      </c>
      <c r="W103" s="12">
        <f t="shared" si="9"/>
        <v>38</v>
      </c>
      <c r="X103" s="12">
        <f t="shared" si="9"/>
        <v>2</v>
      </c>
      <c r="Z103" s="8"/>
      <c r="AA103" s="8"/>
      <c r="AB103" s="8"/>
      <c r="AC103" s="8"/>
    </row>
    <row r="104" spans="1:29" x14ac:dyDescent="0.15">
      <c r="C104" s="17"/>
      <c r="Z104" s="8"/>
      <c r="AA104" s="8"/>
      <c r="AB104" s="8"/>
      <c r="AC104" s="8"/>
    </row>
    <row r="105" spans="1:29" x14ac:dyDescent="0.15">
      <c r="C105" s="17"/>
      <c r="D105" s="11"/>
      <c r="G105" s="12"/>
      <c r="Z105" s="8"/>
      <c r="AA105" s="8"/>
      <c r="AB105" s="8"/>
      <c r="AC105" s="8"/>
    </row>
    <row r="106" spans="1:29" x14ac:dyDescent="0.15">
      <c r="D106" s="17"/>
    </row>
    <row r="107" spans="1:29" x14ac:dyDescent="0.15">
      <c r="D107" s="17"/>
    </row>
    <row r="108" spans="1:29" x14ac:dyDescent="0.15">
      <c r="D108" s="17"/>
    </row>
    <row r="109" spans="1:29" x14ac:dyDescent="0.15">
      <c r="D109" s="17"/>
    </row>
  </sheetData>
  <conditionalFormatting sqref="I2:I101">
    <cfRule type="cellIs" dxfId="10" priority="9" operator="equal">
      <formula>4</formula>
    </cfRule>
    <cfRule type="cellIs" dxfId="9" priority="10" operator="equal">
      <formula>3</formula>
    </cfRule>
    <cfRule type="cellIs" dxfId="8" priority="11" operator="lessThan">
      <formula>3</formula>
    </cfRule>
    <cfRule type="cellIs" dxfId="7" priority="1" operator="greaterThan">
      <formula>4</formula>
    </cfRule>
  </conditionalFormatting>
  <conditionalFormatting sqref="F2:F101">
    <cfRule type="containsText" dxfId="6" priority="7" operator="containsText" text="U">
      <formula>NOT(ISERROR(SEARCH("U",F2)))</formula>
    </cfRule>
  </conditionalFormatting>
  <conditionalFormatting sqref="J2:J101">
    <cfRule type="containsText" dxfId="5" priority="4" operator="containsText" text="2">
      <formula>NOT(ISERROR(SEARCH("2",J2)))</formula>
    </cfRule>
    <cfRule type="containsText" dxfId="4" priority="5" operator="containsText" text="1">
      <formula>NOT(ISERROR(SEARCH("1",J2)))</formula>
    </cfRule>
    <cfRule type="containsText" dxfId="3" priority="6" operator="containsText" text="0">
      <formula>NOT(ISERROR(SEARCH("0",J2)))</formula>
    </cfRule>
  </conditionalFormatting>
  <conditionalFormatting sqref="L2:L101">
    <cfRule type="notContainsBlanks" dxfId="2" priority="3">
      <formula>LEN(TRIM(L2))&gt;0</formula>
    </cfRule>
  </conditionalFormatting>
  <pageMargins left="0.5" right="0.5" top="0.75" bottom="0.75" header="0.5" footer="0.5"/>
  <pageSetup orientation="landscape" horizontalDpi="300" verticalDpi="300"/>
  <headerFooter>
    <oddHeader>&amp;CRed Alert! Disk List</oddHeader>
    <oddFooter>&amp;L&amp;D&amp;CPage &amp;P of &amp;N&amp;R&amp;F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C54"/>
  <sheetViews>
    <sheetView showRuler="0" workbookViewId="0">
      <selection activeCell="C54" sqref="C54"/>
    </sheetView>
  </sheetViews>
  <sheetFormatPr baseColWidth="10" defaultRowHeight="13" x14ac:dyDescent="0.15"/>
  <cols>
    <col min="2" max="2" width="5.33203125" customWidth="1"/>
  </cols>
  <sheetData>
    <row r="2" spans="2:3" x14ac:dyDescent="0.15">
      <c r="B2" t="s">
        <v>598</v>
      </c>
    </row>
    <row r="4" spans="2:3" x14ac:dyDescent="0.15">
      <c r="C4" t="s">
        <v>694</v>
      </c>
    </row>
    <row r="5" spans="2:3" x14ac:dyDescent="0.15">
      <c r="C5" t="s">
        <v>695</v>
      </c>
    </row>
    <row r="6" spans="2:3" x14ac:dyDescent="0.15">
      <c r="C6" t="s">
        <v>596</v>
      </c>
    </row>
    <row r="8" spans="2:3" x14ac:dyDescent="0.15">
      <c r="C8" t="s">
        <v>600</v>
      </c>
    </row>
    <row r="9" spans="2:3" x14ac:dyDescent="0.15">
      <c r="C9" t="s">
        <v>601</v>
      </c>
    </row>
    <row r="10" spans="2:3" x14ac:dyDescent="0.15">
      <c r="C10" t="s">
        <v>599</v>
      </c>
    </row>
    <row r="11" spans="2:3" x14ac:dyDescent="0.15">
      <c r="C11" t="s">
        <v>671</v>
      </c>
    </row>
    <row r="13" spans="2:3" x14ac:dyDescent="0.15">
      <c r="C13" t="s">
        <v>597</v>
      </c>
    </row>
    <row r="14" spans="2:3" x14ac:dyDescent="0.15">
      <c r="C14" t="s">
        <v>696</v>
      </c>
    </row>
    <row r="15" spans="2:3" x14ac:dyDescent="0.15">
      <c r="C15" t="s">
        <v>672</v>
      </c>
    </row>
    <row r="17" spans="2:3" x14ac:dyDescent="0.15">
      <c r="C17" t="s">
        <v>662</v>
      </c>
    </row>
    <row r="18" spans="2:3" x14ac:dyDescent="0.15">
      <c r="C18" t="s">
        <v>535</v>
      </c>
    </row>
    <row r="19" spans="2:3" x14ac:dyDescent="0.15">
      <c r="C19" t="s">
        <v>602</v>
      </c>
    </row>
    <row r="20" spans="2:3" x14ac:dyDescent="0.15">
      <c r="C20" s="30" t="s">
        <v>673</v>
      </c>
    </row>
    <row r="21" spans="2:3" x14ac:dyDescent="0.15">
      <c r="C21" s="30" t="s">
        <v>697</v>
      </c>
    </row>
    <row r="22" spans="2:3" x14ac:dyDescent="0.15">
      <c r="C22" s="30" t="s">
        <v>710</v>
      </c>
    </row>
    <row r="23" spans="2:3" x14ac:dyDescent="0.15">
      <c r="C23" s="30"/>
    </row>
    <row r="24" spans="2:3" x14ac:dyDescent="0.15">
      <c r="C24" s="30" t="s">
        <v>674</v>
      </c>
    </row>
    <row r="25" spans="2:3" x14ac:dyDescent="0.15">
      <c r="C25" s="30" t="s">
        <v>675</v>
      </c>
    </row>
    <row r="26" spans="2:3" x14ac:dyDescent="0.15">
      <c r="C26" s="30" t="s">
        <v>676</v>
      </c>
    </row>
    <row r="27" spans="2:3" x14ac:dyDescent="0.15">
      <c r="C27" s="30" t="s">
        <v>677</v>
      </c>
    </row>
    <row r="30" spans="2:3" x14ac:dyDescent="0.15">
      <c r="B30" t="s">
        <v>540</v>
      </c>
    </row>
    <row r="32" spans="2:3" x14ac:dyDescent="0.15">
      <c r="C32" s="30" t="s">
        <v>536</v>
      </c>
    </row>
    <row r="33" spans="2:3" x14ac:dyDescent="0.15">
      <c r="C33" t="s">
        <v>537</v>
      </c>
    </row>
    <row r="34" spans="2:3" x14ac:dyDescent="0.15">
      <c r="C34" s="30" t="s">
        <v>539</v>
      </c>
    </row>
    <row r="35" spans="2:3" x14ac:dyDescent="0.15">
      <c r="C35" t="s">
        <v>538</v>
      </c>
    </row>
    <row r="38" spans="2:3" x14ac:dyDescent="0.15">
      <c r="B38" t="s">
        <v>603</v>
      </c>
    </row>
    <row r="40" spans="2:3" x14ac:dyDescent="0.15">
      <c r="C40" t="s">
        <v>663</v>
      </c>
    </row>
    <row r="41" spans="2:3" x14ac:dyDescent="0.15">
      <c r="C41" t="s">
        <v>698</v>
      </c>
    </row>
    <row r="42" spans="2:3" x14ac:dyDescent="0.15">
      <c r="C42" t="s">
        <v>699</v>
      </c>
    </row>
    <row r="43" spans="2:3" x14ac:dyDescent="0.15">
      <c r="C43" t="s">
        <v>664</v>
      </c>
    </row>
    <row r="45" spans="2:3" x14ac:dyDescent="0.15">
      <c r="C45" s="3"/>
    </row>
    <row r="46" spans="2:3" x14ac:dyDescent="0.15">
      <c r="B46" t="s">
        <v>700</v>
      </c>
    </row>
    <row r="48" spans="2:3" x14ac:dyDescent="0.15">
      <c r="C48" t="s">
        <v>701</v>
      </c>
    </row>
    <row r="49" spans="3:3" x14ac:dyDescent="0.15">
      <c r="C49" t="s">
        <v>702</v>
      </c>
    </row>
    <row r="50" spans="3:3" x14ac:dyDescent="0.15">
      <c r="C50" t="s">
        <v>703</v>
      </c>
    </row>
    <row r="51" spans="3:3" x14ac:dyDescent="0.15">
      <c r="C51" t="s">
        <v>704</v>
      </c>
    </row>
    <row r="52" spans="3:3" x14ac:dyDescent="0.15">
      <c r="C52" t="s">
        <v>711</v>
      </c>
    </row>
    <row r="53" spans="3:3" x14ac:dyDescent="0.15">
      <c r="C53" t="s">
        <v>678</v>
      </c>
    </row>
    <row r="54" spans="3:3" x14ac:dyDescent="0.15">
      <c r="C54" t="s">
        <v>705</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252"/>
  <sheetViews>
    <sheetView showRuler="0" topLeftCell="B1" workbookViewId="0">
      <pane ySplit="1" topLeftCell="A30" activePane="bottomLeft" state="frozen"/>
      <selection activeCell="I47" sqref="I47"/>
      <selection pane="bottomLeft" activeCell="D72" sqref="D72"/>
    </sheetView>
  </sheetViews>
  <sheetFormatPr baseColWidth="10" defaultColWidth="3.6640625" defaultRowHeight="13" x14ac:dyDescent="0.15"/>
  <cols>
    <col min="1" max="1" width="2.83203125" style="3" customWidth="1"/>
    <col min="2" max="2" width="6.83203125" style="4" customWidth="1"/>
    <col min="3" max="3" width="11" style="4" customWidth="1"/>
    <col min="4" max="4" width="32" style="3" customWidth="1"/>
    <col min="5" max="5" width="10.83203125" style="4" customWidth="1"/>
    <col min="6" max="6" width="5.83203125" style="4" customWidth="1"/>
    <col min="7" max="7" width="5.1640625" style="4" customWidth="1"/>
    <col min="8" max="8" width="6.6640625" style="4" customWidth="1"/>
    <col min="9" max="9" width="9.1640625" style="4" customWidth="1"/>
    <col min="10" max="10" width="5.83203125" style="4" customWidth="1"/>
    <col min="11" max="11" width="14.1640625" style="4" customWidth="1"/>
    <col min="12" max="12" width="10.6640625" style="4" customWidth="1"/>
    <col min="13" max="13" width="13.5" style="4" customWidth="1"/>
    <col min="14" max="14" width="15.33203125" style="4" customWidth="1"/>
    <col min="15" max="15" width="7.5" style="4" customWidth="1"/>
    <col min="16" max="16" width="4.83203125" style="4" customWidth="1"/>
    <col min="17" max="17" width="10.33203125" style="4" customWidth="1"/>
    <col min="18" max="18" width="8.5" style="4" customWidth="1"/>
    <col min="19" max="19" width="7.6640625" style="4" customWidth="1"/>
    <col min="20" max="20" width="8.33203125" style="4" bestFit="1" customWidth="1"/>
    <col min="21" max="21" width="7.6640625" style="4" customWidth="1"/>
    <col min="22" max="22" width="6.5" style="4" customWidth="1"/>
    <col min="23" max="23" width="35.6640625" style="3" customWidth="1"/>
    <col min="24" max="24" width="75" style="3" customWidth="1"/>
    <col min="25" max="25" width="6.33203125" style="4" customWidth="1"/>
    <col min="26" max="16384" width="3.6640625" style="3"/>
  </cols>
  <sheetData>
    <row r="1" spans="2:25" s="1" customFormat="1" ht="28" x14ac:dyDescent="0.15">
      <c r="B1" s="2" t="s">
        <v>435</v>
      </c>
      <c r="C1" s="2" t="s">
        <v>579</v>
      </c>
      <c r="D1" s="1" t="s">
        <v>448</v>
      </c>
      <c r="E1" s="2" t="s">
        <v>558</v>
      </c>
      <c r="F1" s="2" t="s">
        <v>443</v>
      </c>
      <c r="G1" s="2" t="s">
        <v>604</v>
      </c>
      <c r="H1" s="2" t="s">
        <v>570</v>
      </c>
      <c r="I1" s="2" t="s">
        <v>544</v>
      </c>
      <c r="J1" s="2" t="s">
        <v>1</v>
      </c>
      <c r="K1" s="2" t="s">
        <v>447</v>
      </c>
      <c r="L1" s="2" t="s">
        <v>551</v>
      </c>
      <c r="M1" s="2" t="s">
        <v>564</v>
      </c>
      <c r="N1" s="2" t="s">
        <v>563</v>
      </c>
      <c r="O1" s="2" t="s">
        <v>478</v>
      </c>
      <c r="P1" s="2" t="s">
        <v>139</v>
      </c>
      <c r="Q1" s="2" t="s">
        <v>403</v>
      </c>
      <c r="R1" s="2" t="s">
        <v>404</v>
      </c>
      <c r="S1" s="2" t="s">
        <v>405</v>
      </c>
      <c r="T1" s="2" t="s">
        <v>406</v>
      </c>
      <c r="U1" s="2" t="s">
        <v>407</v>
      </c>
      <c r="V1" s="2" t="s">
        <v>150</v>
      </c>
      <c r="W1" s="1" t="s">
        <v>140</v>
      </c>
      <c r="X1" s="1" t="s">
        <v>203</v>
      </c>
      <c r="Y1" s="2" t="s">
        <v>435</v>
      </c>
    </row>
    <row r="2" spans="2:25" ht="12" customHeight="1" x14ac:dyDescent="0.15">
      <c r="B2" s="4">
        <v>101</v>
      </c>
      <c r="C2" s="14" t="str">
        <f t="shared" ref="C2:C65" si="0">VLOOKUP(B2,FLATNUM,5,FALSE)</f>
        <v>Federation</v>
      </c>
      <c r="D2" s="3" t="s">
        <v>304</v>
      </c>
      <c r="E2" s="14">
        <f t="shared" ref="E2:E25" si="1">VLOOKUP(B2,FLATNUM,6,FALSE)</f>
        <v>24</v>
      </c>
      <c r="F2" s="4">
        <v>1</v>
      </c>
      <c r="G2" s="4">
        <v>11</v>
      </c>
      <c r="H2" s="4">
        <f>E2+F2+G2</f>
        <v>36</v>
      </c>
      <c r="I2" s="4" t="str">
        <f>IF(AND(O2&lt;&gt;"Y",K2&lt;&gt;"Scenario"),"",IF(F2&lt;2,"",F2-1))</f>
        <v/>
      </c>
      <c r="J2" s="4" t="s">
        <v>10</v>
      </c>
      <c r="K2" s="4" t="s">
        <v>7</v>
      </c>
      <c r="L2" s="16" t="s">
        <v>553</v>
      </c>
      <c r="M2" s="16"/>
      <c r="N2" s="16" t="s">
        <v>555</v>
      </c>
      <c r="O2" s="4" t="str">
        <f t="shared" ref="O2:O65" si="2">IF(IFERROR(SEARCH("unique",W2),-1)=-1,"","Y")</f>
        <v>Y</v>
      </c>
      <c r="P2" s="4">
        <v>8</v>
      </c>
      <c r="Q2" s="4">
        <v>5</v>
      </c>
      <c r="R2" s="4">
        <v>2</v>
      </c>
      <c r="S2" s="4" t="s">
        <v>417</v>
      </c>
      <c r="T2" s="4" t="s">
        <v>409</v>
      </c>
      <c r="U2" s="4" t="s">
        <v>414</v>
      </c>
      <c r="W2" s="3" t="s">
        <v>172</v>
      </c>
      <c r="X2" s="3" t="s">
        <v>181</v>
      </c>
      <c r="Y2" s="4">
        <f>B2</f>
        <v>101</v>
      </c>
    </row>
    <row r="3" spans="2:25" ht="12" customHeight="1" x14ac:dyDescent="0.15">
      <c r="B3" s="4">
        <v>101</v>
      </c>
      <c r="C3" s="14" t="str">
        <f t="shared" si="0"/>
        <v>Federation</v>
      </c>
      <c r="D3" s="3" t="s">
        <v>186</v>
      </c>
      <c r="E3" s="14">
        <f t="shared" si="1"/>
        <v>24</v>
      </c>
      <c r="F3" s="4">
        <v>1</v>
      </c>
      <c r="G3" s="4">
        <v>10</v>
      </c>
      <c r="H3" s="4">
        <f t="shared" ref="H3:H66" si="3">E3+F3+G3</f>
        <v>35</v>
      </c>
      <c r="I3" s="4" t="str">
        <f t="shared" ref="I3:I25" si="4">IF(AND(O3&lt;&gt;"Y",K3&lt;&gt;"Scenario"),"",IF(F3&lt;2,"",F3-1))</f>
        <v/>
      </c>
      <c r="J3" s="4" t="s">
        <v>10</v>
      </c>
      <c r="K3" s="4" t="s">
        <v>354</v>
      </c>
      <c r="O3" s="4" t="str">
        <f t="shared" si="2"/>
        <v>Y</v>
      </c>
      <c r="P3" s="4">
        <v>18</v>
      </c>
      <c r="Q3" s="4">
        <v>5</v>
      </c>
      <c r="R3" s="4">
        <v>6</v>
      </c>
      <c r="S3" s="4">
        <v>4</v>
      </c>
      <c r="T3" s="4">
        <v>5</v>
      </c>
      <c r="U3" s="4">
        <v>6</v>
      </c>
      <c r="V3" s="4">
        <v>5</v>
      </c>
      <c r="W3" s="18" t="s">
        <v>457</v>
      </c>
      <c r="X3" s="3" t="s">
        <v>374</v>
      </c>
      <c r="Y3" s="4">
        <f t="shared" ref="Y3:Y66" si="5">B3</f>
        <v>101</v>
      </c>
    </row>
    <row r="4" spans="2:25" ht="12" customHeight="1" x14ac:dyDescent="0.15">
      <c r="B4" s="4">
        <v>101</v>
      </c>
      <c r="C4" s="14" t="str">
        <f t="shared" si="0"/>
        <v>Federation</v>
      </c>
      <c r="D4" s="3" t="s">
        <v>116</v>
      </c>
      <c r="E4" s="14">
        <f t="shared" si="1"/>
        <v>24</v>
      </c>
      <c r="F4" s="4">
        <v>5</v>
      </c>
      <c r="G4" s="4">
        <v>3</v>
      </c>
      <c r="H4" s="4">
        <f t="shared" si="3"/>
        <v>32</v>
      </c>
      <c r="I4" s="4" t="str">
        <f t="shared" si="4"/>
        <v/>
      </c>
      <c r="J4" s="4" t="s">
        <v>10</v>
      </c>
      <c r="K4" s="16" t="s">
        <v>176</v>
      </c>
      <c r="L4" s="13"/>
      <c r="M4" s="13"/>
      <c r="N4" s="13" t="s">
        <v>550</v>
      </c>
      <c r="O4" s="4" t="str">
        <f t="shared" si="2"/>
        <v/>
      </c>
      <c r="P4" s="4">
        <v>3</v>
      </c>
      <c r="W4" s="3" t="s">
        <v>205</v>
      </c>
      <c r="X4" s="5" t="s">
        <v>262</v>
      </c>
      <c r="Y4" s="4">
        <f t="shared" si="5"/>
        <v>101</v>
      </c>
    </row>
    <row r="5" spans="2:25" ht="12" customHeight="1" x14ac:dyDescent="0.15">
      <c r="B5" s="4">
        <v>102</v>
      </c>
      <c r="C5" s="14" t="str">
        <f t="shared" si="0"/>
        <v>Romulan</v>
      </c>
      <c r="D5" s="8" t="s">
        <v>63</v>
      </c>
      <c r="E5" s="14">
        <f t="shared" si="1"/>
        <v>16</v>
      </c>
      <c r="F5" s="4">
        <v>1</v>
      </c>
      <c r="G5" s="4">
        <v>4</v>
      </c>
      <c r="H5" s="4">
        <f t="shared" si="3"/>
        <v>21</v>
      </c>
      <c r="I5" s="4" t="str">
        <f t="shared" si="4"/>
        <v/>
      </c>
      <c r="J5" s="7" t="s">
        <v>10</v>
      </c>
      <c r="K5" s="7" t="s">
        <v>7</v>
      </c>
      <c r="L5" s="12" t="s">
        <v>553</v>
      </c>
      <c r="M5" s="7"/>
      <c r="N5" s="12" t="s">
        <v>556</v>
      </c>
      <c r="O5" s="7" t="str">
        <f t="shared" si="2"/>
        <v>Y</v>
      </c>
      <c r="P5" s="7">
        <v>8</v>
      </c>
      <c r="Q5" s="7">
        <v>5</v>
      </c>
      <c r="R5" s="4">
        <v>0</v>
      </c>
      <c r="S5" s="4" t="s">
        <v>420</v>
      </c>
      <c r="T5" s="4" t="s">
        <v>414</v>
      </c>
      <c r="U5" s="4" t="s">
        <v>409</v>
      </c>
      <c r="W5" s="3" t="s">
        <v>204</v>
      </c>
      <c r="X5" s="3" t="s">
        <v>222</v>
      </c>
      <c r="Y5" s="4">
        <f t="shared" si="5"/>
        <v>102</v>
      </c>
    </row>
    <row r="6" spans="2:25" ht="12" customHeight="1" x14ac:dyDescent="0.15">
      <c r="B6" s="4">
        <v>102</v>
      </c>
      <c r="C6" s="14" t="str">
        <f t="shared" si="0"/>
        <v>Romulan</v>
      </c>
      <c r="D6" s="8" t="s">
        <v>195</v>
      </c>
      <c r="E6" s="14">
        <f t="shared" si="1"/>
        <v>16</v>
      </c>
      <c r="F6" s="27">
        <v>1</v>
      </c>
      <c r="G6" s="4">
        <v>4</v>
      </c>
      <c r="H6" s="4">
        <f t="shared" si="3"/>
        <v>21</v>
      </c>
      <c r="I6" s="4" t="str">
        <f t="shared" si="4"/>
        <v/>
      </c>
      <c r="J6" s="7" t="s">
        <v>10</v>
      </c>
      <c r="K6" s="7" t="s">
        <v>354</v>
      </c>
      <c r="L6" s="7"/>
      <c r="M6" s="7"/>
      <c r="N6" s="7"/>
      <c r="O6" s="7" t="str">
        <f t="shared" si="2"/>
        <v>Y</v>
      </c>
      <c r="P6" s="7">
        <v>21</v>
      </c>
      <c r="Q6" s="7">
        <v>6</v>
      </c>
      <c r="R6" s="4">
        <v>5</v>
      </c>
      <c r="S6" s="4">
        <v>4</v>
      </c>
      <c r="T6" s="4">
        <v>5</v>
      </c>
      <c r="U6" s="4">
        <v>6</v>
      </c>
      <c r="V6" s="4">
        <v>5</v>
      </c>
      <c r="W6" s="18" t="s">
        <v>476</v>
      </c>
      <c r="X6" s="3" t="s">
        <v>196</v>
      </c>
      <c r="Y6" s="4">
        <f t="shared" si="5"/>
        <v>102</v>
      </c>
    </row>
    <row r="7" spans="2:25" ht="12" customHeight="1" x14ac:dyDescent="0.15">
      <c r="B7" s="4">
        <v>102</v>
      </c>
      <c r="C7" s="14" t="str">
        <f t="shared" si="0"/>
        <v>Romulan</v>
      </c>
      <c r="D7" s="8" t="s">
        <v>62</v>
      </c>
      <c r="E7" s="14">
        <f t="shared" si="1"/>
        <v>16</v>
      </c>
      <c r="F7" s="27">
        <v>5</v>
      </c>
      <c r="H7" s="4">
        <f t="shared" si="3"/>
        <v>21</v>
      </c>
      <c r="I7" s="4" t="str">
        <f t="shared" si="4"/>
        <v/>
      </c>
      <c r="J7" s="7" t="s">
        <v>10</v>
      </c>
      <c r="K7" s="12" t="s">
        <v>176</v>
      </c>
      <c r="L7" s="12"/>
      <c r="M7" s="12"/>
      <c r="N7" s="12" t="s">
        <v>8</v>
      </c>
      <c r="O7" s="7" t="str">
        <f t="shared" si="2"/>
        <v/>
      </c>
      <c r="P7" s="7">
        <v>1</v>
      </c>
      <c r="Q7" s="7"/>
      <c r="W7" s="3" t="s">
        <v>154</v>
      </c>
      <c r="X7" s="5" t="s">
        <v>153</v>
      </c>
      <c r="Y7" s="4">
        <f t="shared" si="5"/>
        <v>102</v>
      </c>
    </row>
    <row r="8" spans="2:25" ht="12" customHeight="1" x14ac:dyDescent="0.15">
      <c r="B8" s="4">
        <v>103</v>
      </c>
      <c r="C8" s="14" t="str">
        <f t="shared" si="0"/>
        <v>Klingon</v>
      </c>
      <c r="D8" s="3" t="s">
        <v>238</v>
      </c>
      <c r="E8" s="14">
        <f t="shared" si="1"/>
        <v>13</v>
      </c>
      <c r="F8" s="27">
        <v>1</v>
      </c>
      <c r="G8" s="4">
        <v>1</v>
      </c>
      <c r="H8" s="4">
        <f t="shared" si="3"/>
        <v>15</v>
      </c>
      <c r="I8" s="4" t="str">
        <f t="shared" si="4"/>
        <v/>
      </c>
      <c r="J8" s="4" t="s">
        <v>10</v>
      </c>
      <c r="K8" s="7" t="s">
        <v>7</v>
      </c>
      <c r="L8" s="12" t="s">
        <v>553</v>
      </c>
      <c r="M8" s="12"/>
      <c r="N8" s="12" t="s">
        <v>556</v>
      </c>
      <c r="O8" s="7" t="str">
        <f t="shared" si="2"/>
        <v>Y</v>
      </c>
      <c r="P8" s="7">
        <v>8</v>
      </c>
      <c r="Q8" s="7">
        <v>6</v>
      </c>
      <c r="R8" s="4">
        <v>2</v>
      </c>
      <c r="S8" s="4" t="s">
        <v>418</v>
      </c>
      <c r="T8" s="4" t="s">
        <v>422</v>
      </c>
      <c r="U8" s="4" t="s">
        <v>143</v>
      </c>
      <c r="W8" s="3" t="s">
        <v>204</v>
      </c>
      <c r="X8" s="3" t="s">
        <v>222</v>
      </c>
      <c r="Y8" s="4">
        <f t="shared" si="5"/>
        <v>103</v>
      </c>
    </row>
    <row r="9" spans="2:25" ht="12" customHeight="1" x14ac:dyDescent="0.15">
      <c r="B9" s="4">
        <v>103</v>
      </c>
      <c r="C9" s="14" t="str">
        <f t="shared" si="0"/>
        <v>Klingon</v>
      </c>
      <c r="D9" s="3" t="s">
        <v>100</v>
      </c>
      <c r="E9" s="14">
        <f t="shared" si="1"/>
        <v>13</v>
      </c>
      <c r="F9" s="27">
        <v>1</v>
      </c>
      <c r="G9" s="4">
        <v>2</v>
      </c>
      <c r="H9" s="4">
        <f t="shared" si="3"/>
        <v>16</v>
      </c>
      <c r="I9" s="4" t="str">
        <f t="shared" si="4"/>
        <v/>
      </c>
      <c r="J9" s="4" t="s">
        <v>10</v>
      </c>
      <c r="K9" s="7" t="s">
        <v>354</v>
      </c>
      <c r="L9" s="7"/>
      <c r="M9" s="7"/>
      <c r="N9" s="7"/>
      <c r="O9" s="7" t="str">
        <f t="shared" si="2"/>
        <v>Y</v>
      </c>
      <c r="P9" s="7">
        <v>19</v>
      </c>
      <c r="Q9" s="7">
        <v>6</v>
      </c>
      <c r="R9" s="4">
        <v>6</v>
      </c>
      <c r="S9" s="4">
        <v>5</v>
      </c>
      <c r="T9" s="4">
        <v>5</v>
      </c>
      <c r="U9" s="4">
        <v>7</v>
      </c>
      <c r="V9" s="4">
        <v>5</v>
      </c>
      <c r="W9" s="18" t="s">
        <v>469</v>
      </c>
      <c r="X9" s="3" t="s">
        <v>382</v>
      </c>
      <c r="Y9" s="4">
        <f t="shared" si="5"/>
        <v>103</v>
      </c>
    </row>
    <row r="10" spans="2:25" ht="12" customHeight="1" x14ac:dyDescent="0.15">
      <c r="B10" s="4">
        <v>103</v>
      </c>
      <c r="C10" s="14" t="str">
        <f t="shared" si="0"/>
        <v>Klingon</v>
      </c>
      <c r="D10" s="3" t="s">
        <v>45</v>
      </c>
      <c r="E10" s="14">
        <f t="shared" si="1"/>
        <v>13</v>
      </c>
      <c r="F10" s="4">
        <v>1</v>
      </c>
      <c r="H10" s="4">
        <f t="shared" si="3"/>
        <v>14</v>
      </c>
      <c r="I10" s="4" t="str">
        <f t="shared" si="4"/>
        <v/>
      </c>
      <c r="J10" s="4" t="s">
        <v>10</v>
      </c>
      <c r="K10" s="12" t="s">
        <v>176</v>
      </c>
      <c r="L10" s="12"/>
      <c r="M10" s="12"/>
      <c r="N10" s="12" t="s">
        <v>549</v>
      </c>
      <c r="O10" s="4" t="str">
        <f t="shared" si="2"/>
        <v/>
      </c>
      <c r="P10" s="27">
        <f>F8</f>
        <v>1</v>
      </c>
      <c r="Q10" s="27">
        <f>F9</f>
        <v>1</v>
      </c>
      <c r="W10" s="3" t="s">
        <v>233</v>
      </c>
      <c r="X10" s="3" t="s">
        <v>232</v>
      </c>
      <c r="Y10" s="4">
        <f t="shared" si="5"/>
        <v>103</v>
      </c>
    </row>
    <row r="11" spans="2:25" ht="12" customHeight="1" x14ac:dyDescent="0.15">
      <c r="B11" s="4">
        <v>104</v>
      </c>
      <c r="C11" s="14" t="str">
        <f t="shared" si="0"/>
        <v>Cardassian</v>
      </c>
      <c r="D11" s="3" t="s">
        <v>392</v>
      </c>
      <c r="E11" s="14">
        <f t="shared" si="1"/>
        <v>7</v>
      </c>
      <c r="F11" s="4">
        <v>1</v>
      </c>
      <c r="G11" s="4">
        <v>1</v>
      </c>
      <c r="H11" s="4">
        <f t="shared" si="3"/>
        <v>9</v>
      </c>
      <c r="I11" s="4" t="str">
        <f t="shared" si="4"/>
        <v/>
      </c>
      <c r="J11" s="4" t="s">
        <v>10</v>
      </c>
      <c r="K11" s="4" t="s">
        <v>7</v>
      </c>
      <c r="L11" s="16" t="s">
        <v>553</v>
      </c>
      <c r="M11" s="16"/>
      <c r="N11" s="16" t="s">
        <v>556</v>
      </c>
      <c r="O11" s="4" t="str">
        <f t="shared" si="2"/>
        <v>Y</v>
      </c>
      <c r="P11" s="4">
        <v>8</v>
      </c>
      <c r="Q11" s="4">
        <v>5</v>
      </c>
      <c r="R11" s="4">
        <v>2</v>
      </c>
      <c r="S11" s="4" t="s">
        <v>422</v>
      </c>
      <c r="T11" s="4" t="s">
        <v>418</v>
      </c>
      <c r="U11" s="4" t="s">
        <v>143</v>
      </c>
      <c r="W11" s="3" t="s">
        <v>204</v>
      </c>
      <c r="X11" s="3" t="s">
        <v>431</v>
      </c>
      <c r="Y11" s="4">
        <f t="shared" si="5"/>
        <v>104</v>
      </c>
    </row>
    <row r="12" spans="2:25" ht="12" customHeight="1" x14ac:dyDescent="0.15">
      <c r="B12" s="4">
        <v>104</v>
      </c>
      <c r="C12" s="14" t="str">
        <f t="shared" si="0"/>
        <v>Cardassian</v>
      </c>
      <c r="D12" s="3" t="s">
        <v>145</v>
      </c>
      <c r="E12" s="14">
        <f t="shared" si="1"/>
        <v>7</v>
      </c>
      <c r="F12" s="4">
        <v>1</v>
      </c>
      <c r="G12" s="4">
        <v>1</v>
      </c>
      <c r="H12" s="4">
        <f t="shared" si="3"/>
        <v>9</v>
      </c>
      <c r="I12" s="4" t="str">
        <f t="shared" si="4"/>
        <v/>
      </c>
      <c r="J12" s="4" t="s">
        <v>10</v>
      </c>
      <c r="K12" s="4" t="s">
        <v>354</v>
      </c>
      <c r="O12" s="4" t="str">
        <f t="shared" si="2"/>
        <v>Y</v>
      </c>
      <c r="P12" s="4">
        <v>14</v>
      </c>
      <c r="Q12" s="4">
        <v>5</v>
      </c>
      <c r="R12" s="4">
        <v>4</v>
      </c>
      <c r="S12" s="4">
        <v>4</v>
      </c>
      <c r="T12" s="4">
        <v>4</v>
      </c>
      <c r="U12" s="4">
        <v>4</v>
      </c>
      <c r="V12" s="4">
        <v>5</v>
      </c>
      <c r="W12" s="18" t="s">
        <v>452</v>
      </c>
      <c r="X12" s="3" t="s">
        <v>389</v>
      </c>
      <c r="Y12" s="4">
        <f t="shared" si="5"/>
        <v>104</v>
      </c>
    </row>
    <row r="13" spans="2:25" ht="12" customHeight="1" x14ac:dyDescent="0.15">
      <c r="B13" s="4">
        <v>104</v>
      </c>
      <c r="C13" s="14" t="str">
        <f t="shared" si="0"/>
        <v>Cardassian</v>
      </c>
      <c r="D13" s="3" t="s">
        <v>393</v>
      </c>
      <c r="E13" s="14">
        <f t="shared" si="1"/>
        <v>7</v>
      </c>
      <c r="F13" s="4">
        <v>1</v>
      </c>
      <c r="H13" s="4">
        <f t="shared" si="3"/>
        <v>8</v>
      </c>
      <c r="I13" s="4" t="str">
        <f t="shared" si="4"/>
        <v/>
      </c>
      <c r="J13" s="4" t="s">
        <v>10</v>
      </c>
      <c r="K13" s="16" t="s">
        <v>176</v>
      </c>
      <c r="L13" s="16"/>
      <c r="M13" s="16"/>
      <c r="N13" s="16" t="s">
        <v>550</v>
      </c>
      <c r="O13" s="4" t="str">
        <f t="shared" si="2"/>
        <v/>
      </c>
      <c r="P13" s="4">
        <v>3</v>
      </c>
      <c r="W13" s="3" t="s">
        <v>205</v>
      </c>
      <c r="X13" s="5" t="s">
        <v>262</v>
      </c>
      <c r="Y13" s="4">
        <f t="shared" si="5"/>
        <v>104</v>
      </c>
    </row>
    <row r="14" spans="2:25" ht="12" customHeight="1" x14ac:dyDescent="0.15">
      <c r="B14" s="4">
        <v>105</v>
      </c>
      <c r="C14" s="14" t="str">
        <f t="shared" si="0"/>
        <v>Klingon</v>
      </c>
      <c r="D14" s="3" t="s">
        <v>271</v>
      </c>
      <c r="E14" s="14">
        <f t="shared" si="1"/>
        <v>13</v>
      </c>
      <c r="F14" s="4">
        <v>1</v>
      </c>
      <c r="G14" s="4">
        <v>3</v>
      </c>
      <c r="H14" s="4">
        <f t="shared" si="3"/>
        <v>17</v>
      </c>
      <c r="I14" s="4" t="str">
        <f t="shared" si="4"/>
        <v/>
      </c>
      <c r="J14" s="4" t="s">
        <v>10</v>
      </c>
      <c r="K14" s="4" t="s">
        <v>7</v>
      </c>
      <c r="L14" s="16" t="s">
        <v>553</v>
      </c>
      <c r="M14" s="16"/>
      <c r="N14" s="16" t="s">
        <v>557</v>
      </c>
      <c r="O14" s="4" t="str">
        <f t="shared" si="2"/>
        <v>Y</v>
      </c>
      <c r="P14" s="4">
        <v>9</v>
      </c>
      <c r="Q14" s="4">
        <v>7</v>
      </c>
      <c r="R14" s="4">
        <v>2</v>
      </c>
      <c r="S14" s="4" t="s">
        <v>422</v>
      </c>
      <c r="T14" s="4" t="s">
        <v>418</v>
      </c>
      <c r="U14" s="4" t="s">
        <v>411</v>
      </c>
      <c r="W14" s="3" t="s">
        <v>141</v>
      </c>
      <c r="X14" s="3" t="s">
        <v>273</v>
      </c>
      <c r="Y14" s="4">
        <f t="shared" si="5"/>
        <v>105</v>
      </c>
    </row>
    <row r="15" spans="2:25" ht="12" customHeight="1" x14ac:dyDescent="0.15">
      <c r="B15" s="4">
        <v>105</v>
      </c>
      <c r="C15" s="14" t="str">
        <f t="shared" si="0"/>
        <v>Klingon</v>
      </c>
      <c r="D15" s="3" t="s">
        <v>66</v>
      </c>
      <c r="E15" s="14">
        <f t="shared" si="1"/>
        <v>13</v>
      </c>
      <c r="F15" s="4">
        <v>1</v>
      </c>
      <c r="G15" s="4">
        <v>2</v>
      </c>
      <c r="H15" s="4">
        <f t="shared" si="3"/>
        <v>16</v>
      </c>
      <c r="I15" s="4" t="str">
        <f t="shared" si="4"/>
        <v/>
      </c>
      <c r="J15" s="4" t="s">
        <v>10</v>
      </c>
      <c r="K15" s="4" t="s">
        <v>354</v>
      </c>
      <c r="O15" s="4" t="str">
        <f t="shared" si="2"/>
        <v>Y</v>
      </c>
      <c r="P15" s="4">
        <v>17</v>
      </c>
      <c r="Q15" s="4">
        <v>4</v>
      </c>
      <c r="R15" s="4">
        <v>4</v>
      </c>
      <c r="S15" s="4">
        <v>6</v>
      </c>
      <c r="T15" s="4">
        <v>4</v>
      </c>
      <c r="U15" s="4">
        <v>4</v>
      </c>
      <c r="V15" s="4">
        <v>5</v>
      </c>
      <c r="W15" s="18" t="s">
        <v>472</v>
      </c>
      <c r="X15" s="3" t="s">
        <v>381</v>
      </c>
      <c r="Y15" s="4">
        <f t="shared" si="5"/>
        <v>105</v>
      </c>
    </row>
    <row r="16" spans="2:25" ht="12" customHeight="1" x14ac:dyDescent="0.15">
      <c r="B16" s="4">
        <v>105</v>
      </c>
      <c r="C16" s="14" t="str">
        <f t="shared" si="0"/>
        <v>Klingon</v>
      </c>
      <c r="D16" s="3" t="s">
        <v>67</v>
      </c>
      <c r="E16" s="14">
        <f t="shared" si="1"/>
        <v>13</v>
      </c>
      <c r="F16" s="4">
        <v>3</v>
      </c>
      <c r="G16" s="4">
        <v>1</v>
      </c>
      <c r="H16" s="4">
        <f t="shared" si="3"/>
        <v>17</v>
      </c>
      <c r="I16" s="4" t="str">
        <f t="shared" si="4"/>
        <v/>
      </c>
      <c r="J16" s="4" t="s">
        <v>10</v>
      </c>
      <c r="K16" s="16" t="s">
        <v>176</v>
      </c>
      <c r="L16" s="16"/>
      <c r="M16" s="16"/>
      <c r="N16" s="16" t="s">
        <v>8</v>
      </c>
      <c r="O16" s="4" t="str">
        <f t="shared" si="2"/>
        <v/>
      </c>
      <c r="P16" s="4">
        <v>3</v>
      </c>
      <c r="W16" s="3" t="s">
        <v>154</v>
      </c>
      <c r="X16" s="3" t="s">
        <v>342</v>
      </c>
      <c r="Y16" s="4">
        <f t="shared" si="5"/>
        <v>105</v>
      </c>
    </row>
    <row r="17" spans="1:25" ht="12" customHeight="1" x14ac:dyDescent="0.15">
      <c r="B17" s="4">
        <v>106</v>
      </c>
      <c r="C17" s="14" t="str">
        <f t="shared" si="0"/>
        <v>Federation</v>
      </c>
      <c r="D17" s="3" t="s">
        <v>29</v>
      </c>
      <c r="E17" s="14">
        <f t="shared" si="1"/>
        <v>24</v>
      </c>
      <c r="F17" s="4">
        <v>1</v>
      </c>
      <c r="G17" s="4">
        <v>8</v>
      </c>
      <c r="H17" s="4">
        <f t="shared" si="3"/>
        <v>33</v>
      </c>
      <c r="I17" s="4" t="str">
        <f t="shared" si="4"/>
        <v/>
      </c>
      <c r="J17" s="4" t="s">
        <v>10</v>
      </c>
      <c r="K17" s="4" t="s">
        <v>7</v>
      </c>
      <c r="L17" s="16" t="s">
        <v>553</v>
      </c>
      <c r="M17" s="16"/>
      <c r="N17" s="16" t="s">
        <v>557</v>
      </c>
      <c r="O17" s="4" t="str">
        <f t="shared" si="2"/>
        <v>Y</v>
      </c>
      <c r="P17" s="4">
        <v>9</v>
      </c>
      <c r="Q17" s="4">
        <v>7</v>
      </c>
      <c r="R17" s="4">
        <v>0</v>
      </c>
      <c r="S17" s="4" t="s">
        <v>424</v>
      </c>
      <c r="T17" s="4" t="s">
        <v>412</v>
      </c>
      <c r="U17" s="4" t="s">
        <v>409</v>
      </c>
      <c r="W17" s="3" t="s">
        <v>141</v>
      </c>
      <c r="X17" s="3" t="s">
        <v>303</v>
      </c>
      <c r="Y17" s="4">
        <f t="shared" si="5"/>
        <v>106</v>
      </c>
    </row>
    <row r="18" spans="1:25" ht="12" customHeight="1" x14ac:dyDescent="0.15">
      <c r="B18" s="4">
        <v>106</v>
      </c>
      <c r="C18" s="14" t="str">
        <f t="shared" si="0"/>
        <v>Federation</v>
      </c>
      <c r="D18" s="3" t="s">
        <v>190</v>
      </c>
      <c r="E18" s="14">
        <f t="shared" si="1"/>
        <v>24</v>
      </c>
      <c r="F18" s="4">
        <v>1</v>
      </c>
      <c r="G18" s="4">
        <v>8</v>
      </c>
      <c r="H18" s="4">
        <f t="shared" si="3"/>
        <v>33</v>
      </c>
      <c r="I18" s="4" t="str">
        <f t="shared" si="4"/>
        <v/>
      </c>
      <c r="J18" s="4" t="s">
        <v>10</v>
      </c>
      <c r="K18" s="4" t="s">
        <v>354</v>
      </c>
      <c r="O18" s="4" t="str">
        <f t="shared" si="2"/>
        <v>Y</v>
      </c>
      <c r="P18" s="4">
        <v>15</v>
      </c>
      <c r="Q18" s="4">
        <v>4</v>
      </c>
      <c r="R18" s="4">
        <v>5</v>
      </c>
      <c r="S18" s="4">
        <v>4</v>
      </c>
      <c r="T18" s="4">
        <v>4</v>
      </c>
      <c r="U18" s="4">
        <v>6</v>
      </c>
      <c r="V18" s="4">
        <v>5</v>
      </c>
      <c r="W18" s="18" t="s">
        <v>461</v>
      </c>
      <c r="X18" s="3" t="s">
        <v>191</v>
      </c>
      <c r="Y18" s="4">
        <f t="shared" si="5"/>
        <v>106</v>
      </c>
    </row>
    <row r="19" spans="1:25" ht="12" customHeight="1" x14ac:dyDescent="0.15">
      <c r="B19" s="4">
        <v>106</v>
      </c>
      <c r="C19" s="14" t="str">
        <f t="shared" si="0"/>
        <v>Federation</v>
      </c>
      <c r="D19" s="3" t="s">
        <v>28</v>
      </c>
      <c r="E19" s="14">
        <f t="shared" si="1"/>
        <v>24</v>
      </c>
      <c r="F19" s="4">
        <v>5</v>
      </c>
      <c r="G19" s="4">
        <v>2</v>
      </c>
      <c r="H19" s="4">
        <f t="shared" si="3"/>
        <v>31</v>
      </c>
      <c r="I19" s="4" t="str">
        <f t="shared" si="4"/>
        <v/>
      </c>
      <c r="J19" s="4" t="s">
        <v>10</v>
      </c>
      <c r="K19" s="16" t="s">
        <v>176</v>
      </c>
      <c r="L19" s="16"/>
      <c r="M19" s="16"/>
      <c r="N19" s="16"/>
      <c r="O19" s="4" t="str">
        <f t="shared" si="2"/>
        <v/>
      </c>
      <c r="P19" s="4">
        <v>4</v>
      </c>
      <c r="W19" s="3" t="s">
        <v>176</v>
      </c>
      <c r="X19" s="3" t="s">
        <v>299</v>
      </c>
      <c r="Y19" s="4">
        <f t="shared" si="5"/>
        <v>106</v>
      </c>
    </row>
    <row r="20" spans="1:25" ht="12" customHeight="1" x14ac:dyDescent="0.15">
      <c r="B20" s="4">
        <v>107</v>
      </c>
      <c r="C20" s="14" t="str">
        <f t="shared" si="0"/>
        <v>Klingon</v>
      </c>
      <c r="D20" s="3" t="s">
        <v>272</v>
      </c>
      <c r="E20" s="14">
        <f t="shared" si="1"/>
        <v>15</v>
      </c>
      <c r="F20" s="4">
        <v>1</v>
      </c>
      <c r="H20" s="4">
        <f t="shared" si="3"/>
        <v>16</v>
      </c>
      <c r="I20" s="4" t="str">
        <f t="shared" si="4"/>
        <v/>
      </c>
      <c r="J20" s="4" t="s">
        <v>10</v>
      </c>
      <c r="K20" s="4" t="s">
        <v>7</v>
      </c>
      <c r="L20" s="16" t="s">
        <v>553</v>
      </c>
      <c r="M20" s="16"/>
      <c r="N20" s="16" t="s">
        <v>557</v>
      </c>
      <c r="O20" s="4" t="str">
        <f t="shared" si="2"/>
        <v>Y</v>
      </c>
      <c r="P20" s="4">
        <v>10</v>
      </c>
      <c r="Q20" s="4">
        <v>7</v>
      </c>
      <c r="R20" s="4">
        <v>2</v>
      </c>
      <c r="S20" s="31" t="s">
        <v>419</v>
      </c>
      <c r="T20" s="4" t="s">
        <v>420</v>
      </c>
      <c r="U20" s="4" t="s">
        <v>411</v>
      </c>
      <c r="W20" s="3" t="s">
        <v>141</v>
      </c>
      <c r="X20" s="3" t="s">
        <v>274</v>
      </c>
      <c r="Y20" s="4">
        <f t="shared" si="5"/>
        <v>107</v>
      </c>
    </row>
    <row r="21" spans="1:25" ht="12" customHeight="1" x14ac:dyDescent="0.15">
      <c r="B21" s="4">
        <v>107</v>
      </c>
      <c r="C21" s="14" t="str">
        <f t="shared" si="0"/>
        <v>Klingon</v>
      </c>
      <c r="D21" s="3" t="s">
        <v>69</v>
      </c>
      <c r="E21" s="14">
        <f t="shared" si="1"/>
        <v>15</v>
      </c>
      <c r="F21" s="4">
        <v>1</v>
      </c>
      <c r="H21" s="4">
        <f t="shared" si="3"/>
        <v>16</v>
      </c>
      <c r="I21" s="4" t="str">
        <f t="shared" si="4"/>
        <v/>
      </c>
      <c r="J21" s="4" t="s">
        <v>10</v>
      </c>
      <c r="K21" s="4" t="s">
        <v>354</v>
      </c>
      <c r="O21" s="4" t="str">
        <f t="shared" si="2"/>
        <v>Y</v>
      </c>
      <c r="P21" s="4">
        <v>14</v>
      </c>
      <c r="Q21" s="4">
        <v>5</v>
      </c>
      <c r="R21" s="4">
        <v>5</v>
      </c>
      <c r="S21" s="4">
        <v>3</v>
      </c>
      <c r="T21" s="4">
        <v>4</v>
      </c>
      <c r="U21" s="4">
        <v>4</v>
      </c>
      <c r="V21" s="4">
        <v>5</v>
      </c>
      <c r="W21" s="18" t="s">
        <v>473</v>
      </c>
      <c r="X21" s="3" t="s">
        <v>362</v>
      </c>
      <c r="Y21" s="4">
        <f t="shared" si="5"/>
        <v>107</v>
      </c>
    </row>
    <row r="22" spans="1:25" ht="12" customHeight="1" x14ac:dyDescent="0.15">
      <c r="B22" s="4">
        <v>107</v>
      </c>
      <c r="C22" s="14" t="str">
        <f t="shared" si="0"/>
        <v>Klingon</v>
      </c>
      <c r="D22" s="3" t="s">
        <v>70</v>
      </c>
      <c r="E22" s="14">
        <f t="shared" si="1"/>
        <v>15</v>
      </c>
      <c r="F22" s="4">
        <v>2</v>
      </c>
      <c r="H22" s="4">
        <f t="shared" si="3"/>
        <v>17</v>
      </c>
      <c r="I22" s="4" t="str">
        <f t="shared" si="4"/>
        <v/>
      </c>
      <c r="J22" s="4" t="s">
        <v>10</v>
      </c>
      <c r="K22" s="16" t="s">
        <v>176</v>
      </c>
      <c r="L22" s="16"/>
      <c r="M22" s="16"/>
      <c r="N22" s="16" t="s">
        <v>550</v>
      </c>
      <c r="O22" s="4" t="str">
        <f t="shared" si="2"/>
        <v/>
      </c>
      <c r="P22" s="4">
        <v>4</v>
      </c>
      <c r="W22" s="3" t="s">
        <v>205</v>
      </c>
      <c r="X22" s="5" t="s">
        <v>260</v>
      </c>
      <c r="Y22" s="4">
        <f t="shared" si="5"/>
        <v>107</v>
      </c>
    </row>
    <row r="23" spans="1:25" ht="12" customHeight="1" x14ac:dyDescent="0.15">
      <c r="B23" s="4">
        <v>108</v>
      </c>
      <c r="C23" s="14" t="str">
        <f t="shared" si="0"/>
        <v>Ferengi</v>
      </c>
      <c r="D23" s="3" t="s">
        <v>35</v>
      </c>
      <c r="E23" s="14">
        <f t="shared" si="1"/>
        <v>23</v>
      </c>
      <c r="F23" s="4">
        <v>1</v>
      </c>
      <c r="G23" s="4">
        <v>9</v>
      </c>
      <c r="H23" s="4">
        <f t="shared" si="3"/>
        <v>33</v>
      </c>
      <c r="I23" s="4" t="str">
        <f t="shared" si="4"/>
        <v/>
      </c>
      <c r="J23" s="4" t="s">
        <v>10</v>
      </c>
      <c r="K23" s="4" t="s">
        <v>7</v>
      </c>
      <c r="L23" s="16" t="s">
        <v>553</v>
      </c>
      <c r="M23" s="16"/>
      <c r="N23" s="16" t="s">
        <v>556</v>
      </c>
      <c r="O23" s="4" t="str">
        <f t="shared" si="2"/>
        <v>Y</v>
      </c>
      <c r="P23" s="4">
        <v>8</v>
      </c>
      <c r="Q23" s="4">
        <v>5</v>
      </c>
      <c r="R23" s="4">
        <v>0</v>
      </c>
      <c r="S23" s="4" t="s">
        <v>418</v>
      </c>
      <c r="T23" s="4" t="s">
        <v>411</v>
      </c>
      <c r="U23" s="4" t="s">
        <v>409</v>
      </c>
      <c r="W23" s="3" t="s">
        <v>204</v>
      </c>
      <c r="X23" s="3" t="s">
        <v>181</v>
      </c>
      <c r="Y23" s="4">
        <f t="shared" si="5"/>
        <v>108</v>
      </c>
    </row>
    <row r="24" spans="1:25" ht="12" customHeight="1" x14ac:dyDescent="0.15">
      <c r="B24" s="4">
        <v>108</v>
      </c>
      <c r="C24" s="14" t="str">
        <f t="shared" si="0"/>
        <v>Ferengi</v>
      </c>
      <c r="D24" s="3" t="s">
        <v>32</v>
      </c>
      <c r="E24" s="14">
        <f t="shared" si="1"/>
        <v>23</v>
      </c>
      <c r="F24" s="4">
        <v>1</v>
      </c>
      <c r="G24" s="4">
        <v>8</v>
      </c>
      <c r="H24" s="4">
        <f t="shared" si="3"/>
        <v>32</v>
      </c>
      <c r="I24" s="4" t="str">
        <f t="shared" si="4"/>
        <v/>
      </c>
      <c r="J24" s="4" t="s">
        <v>10</v>
      </c>
      <c r="K24" s="4" t="s">
        <v>354</v>
      </c>
      <c r="O24" s="4" t="str">
        <f t="shared" si="2"/>
        <v>Y</v>
      </c>
      <c r="P24" s="4">
        <v>16</v>
      </c>
      <c r="Q24" s="4">
        <v>5</v>
      </c>
      <c r="R24" s="4">
        <v>5</v>
      </c>
      <c r="S24" s="4">
        <v>4</v>
      </c>
      <c r="T24" s="4">
        <v>4</v>
      </c>
      <c r="U24" s="4">
        <v>5</v>
      </c>
      <c r="V24" s="4">
        <v>5</v>
      </c>
      <c r="W24" s="18" t="s">
        <v>466</v>
      </c>
      <c r="X24" s="3" t="s">
        <v>336</v>
      </c>
      <c r="Y24" s="4">
        <f t="shared" si="5"/>
        <v>108</v>
      </c>
    </row>
    <row r="25" spans="1:25" ht="12" customHeight="1" x14ac:dyDescent="0.15">
      <c r="B25" s="4">
        <v>108</v>
      </c>
      <c r="C25" s="14" t="str">
        <f t="shared" si="0"/>
        <v>Ferengi</v>
      </c>
      <c r="D25" s="3" t="s">
        <v>34</v>
      </c>
      <c r="E25" s="14">
        <f t="shared" si="1"/>
        <v>23</v>
      </c>
      <c r="F25" s="4">
        <v>6</v>
      </c>
      <c r="G25" s="4">
        <v>5</v>
      </c>
      <c r="H25" s="4">
        <f t="shared" si="3"/>
        <v>34</v>
      </c>
      <c r="I25" s="4" t="str">
        <f t="shared" si="4"/>
        <v/>
      </c>
      <c r="J25" s="4" t="s">
        <v>10</v>
      </c>
      <c r="K25" s="16" t="s">
        <v>176</v>
      </c>
      <c r="L25" s="16"/>
      <c r="M25" s="16"/>
      <c r="N25" s="16" t="s">
        <v>550</v>
      </c>
      <c r="O25" s="4" t="str">
        <f t="shared" si="2"/>
        <v/>
      </c>
      <c r="P25" s="4">
        <v>3</v>
      </c>
      <c r="Q25" s="4">
        <v>3</v>
      </c>
      <c r="W25" s="3" t="s">
        <v>205</v>
      </c>
      <c r="X25" s="5" t="s">
        <v>260</v>
      </c>
      <c r="Y25" s="4">
        <f t="shared" si="5"/>
        <v>108</v>
      </c>
    </row>
    <row r="26" spans="1:25" x14ac:dyDescent="0.15">
      <c r="B26" s="4">
        <v>109</v>
      </c>
      <c r="C26" s="14" t="str">
        <f t="shared" si="0"/>
        <v>Klingon</v>
      </c>
      <c r="D26" s="18" t="s">
        <v>491</v>
      </c>
      <c r="E26" s="14">
        <f t="shared" ref="E26:E89" si="6">VLOOKUP(B26,FLATNUM,6,FALSE)</f>
        <v>17</v>
      </c>
      <c r="F26" s="4">
        <v>1</v>
      </c>
      <c r="G26" s="4">
        <v>3</v>
      </c>
      <c r="H26" s="4">
        <f t="shared" si="3"/>
        <v>21</v>
      </c>
      <c r="I26" s="4" t="str">
        <f>IF(AND(O26&lt;&gt;"Y",K26&lt;&gt;"Scenario"),"",IF(F26&lt;2,"",F26-1))</f>
        <v/>
      </c>
      <c r="J26" s="4" t="s">
        <v>10</v>
      </c>
      <c r="K26" s="16" t="s">
        <v>22</v>
      </c>
      <c r="L26" s="16"/>
      <c r="M26" s="16"/>
      <c r="N26" s="16"/>
      <c r="O26" s="4" t="str">
        <f t="shared" si="2"/>
        <v/>
      </c>
      <c r="P26" s="4">
        <v>75</v>
      </c>
      <c r="Q26" s="4">
        <v>5</v>
      </c>
      <c r="R26" s="4">
        <v>5</v>
      </c>
      <c r="S26" s="4">
        <v>7</v>
      </c>
      <c r="T26" s="4" t="s">
        <v>255</v>
      </c>
      <c r="U26" s="4">
        <v>5</v>
      </c>
      <c r="V26" s="4">
        <v>0</v>
      </c>
      <c r="W26" s="18" t="s">
        <v>401</v>
      </c>
      <c r="Y26" s="4">
        <f t="shared" si="5"/>
        <v>109</v>
      </c>
    </row>
    <row r="27" spans="1:25" x14ac:dyDescent="0.15">
      <c r="B27" s="4">
        <v>110</v>
      </c>
      <c r="C27" s="14" t="str">
        <f t="shared" si="0"/>
        <v>Ferengi</v>
      </c>
      <c r="D27" s="18" t="s">
        <v>494</v>
      </c>
      <c r="E27" s="14">
        <f t="shared" si="6"/>
        <v>16</v>
      </c>
      <c r="F27" s="4">
        <v>1</v>
      </c>
      <c r="G27" s="4">
        <v>1</v>
      </c>
      <c r="H27" s="4">
        <f t="shared" si="3"/>
        <v>18</v>
      </c>
      <c r="I27" s="4" t="str">
        <f t="shared" ref="I27:I90" si="7">IF(AND(O27&lt;&gt;"Y",K27&lt;&gt;"Scenario"),"",IF(F27&lt;2,"",F27-1))</f>
        <v/>
      </c>
      <c r="J27" s="4" t="s">
        <v>10</v>
      </c>
      <c r="K27" s="16" t="s">
        <v>22</v>
      </c>
      <c r="L27" s="16"/>
      <c r="M27" s="16"/>
      <c r="N27" s="16"/>
      <c r="O27" s="4" t="str">
        <f t="shared" si="2"/>
        <v/>
      </c>
      <c r="P27" s="4" t="s">
        <v>401</v>
      </c>
      <c r="W27" s="18" t="s">
        <v>401</v>
      </c>
      <c r="Y27" s="4">
        <f t="shared" si="5"/>
        <v>110</v>
      </c>
    </row>
    <row r="28" spans="1:25" x14ac:dyDescent="0.15">
      <c r="B28" s="4">
        <v>111</v>
      </c>
      <c r="C28" s="14" t="str">
        <f t="shared" si="0"/>
        <v>Other</v>
      </c>
      <c r="D28" s="18" t="s">
        <v>487</v>
      </c>
      <c r="E28" s="14">
        <f t="shared" si="6"/>
        <v>23</v>
      </c>
      <c r="F28" s="4">
        <v>1</v>
      </c>
      <c r="G28" s="4">
        <v>1</v>
      </c>
      <c r="H28" s="4">
        <f t="shared" si="3"/>
        <v>25</v>
      </c>
      <c r="I28" s="4" t="str">
        <f t="shared" si="7"/>
        <v/>
      </c>
      <c r="J28" s="4" t="s">
        <v>10</v>
      </c>
      <c r="K28" s="16" t="s">
        <v>22</v>
      </c>
      <c r="L28" s="16"/>
      <c r="M28" s="16"/>
      <c r="N28" s="16"/>
      <c r="O28" s="4" t="str">
        <f t="shared" si="2"/>
        <v/>
      </c>
      <c r="P28" s="4" t="s">
        <v>401</v>
      </c>
      <c r="W28" s="18" t="s">
        <v>401</v>
      </c>
      <c r="Y28" s="4">
        <f t="shared" si="5"/>
        <v>111</v>
      </c>
    </row>
    <row r="29" spans="1:25" x14ac:dyDescent="0.15">
      <c r="B29" s="4">
        <v>112</v>
      </c>
      <c r="C29" s="14" t="str">
        <f t="shared" si="0"/>
        <v>Other</v>
      </c>
      <c r="D29" s="18" t="s">
        <v>480</v>
      </c>
      <c r="E29" s="14">
        <f t="shared" si="6"/>
        <v>18</v>
      </c>
      <c r="F29" s="4">
        <v>1</v>
      </c>
      <c r="G29" s="4">
        <v>1</v>
      </c>
      <c r="H29" s="4">
        <f t="shared" si="3"/>
        <v>20</v>
      </c>
      <c r="I29" s="4" t="str">
        <f t="shared" si="7"/>
        <v/>
      </c>
      <c r="J29" s="4" t="s">
        <v>10</v>
      </c>
      <c r="K29" s="16" t="s">
        <v>22</v>
      </c>
      <c r="L29" s="16"/>
      <c r="M29" s="16"/>
      <c r="N29" s="16"/>
      <c r="O29" s="4" t="str">
        <f t="shared" si="2"/>
        <v/>
      </c>
      <c r="P29" s="4" t="s">
        <v>401</v>
      </c>
      <c r="W29" s="18" t="s">
        <v>401</v>
      </c>
      <c r="X29" s="18" t="s">
        <v>445</v>
      </c>
      <c r="Y29" s="4">
        <f t="shared" si="5"/>
        <v>112</v>
      </c>
    </row>
    <row r="30" spans="1:25" ht="12" customHeight="1" x14ac:dyDescent="0.15">
      <c r="A30" s="3">
        <v>0</v>
      </c>
      <c r="B30" s="4">
        <v>113</v>
      </c>
      <c r="C30" s="14" t="str">
        <f t="shared" si="0"/>
        <v>Federation</v>
      </c>
      <c r="D30" s="3" t="s">
        <v>46</v>
      </c>
      <c r="E30" s="14">
        <f t="shared" si="6"/>
        <v>23</v>
      </c>
      <c r="F30" s="4">
        <v>1</v>
      </c>
      <c r="G30" s="4">
        <v>2</v>
      </c>
      <c r="H30" s="4">
        <f t="shared" si="3"/>
        <v>26</v>
      </c>
      <c r="I30" s="4" t="str">
        <f t="shared" si="7"/>
        <v/>
      </c>
      <c r="J30" s="4" t="s">
        <v>10</v>
      </c>
      <c r="K30" s="4" t="s">
        <v>7</v>
      </c>
      <c r="L30" s="16" t="s">
        <v>21</v>
      </c>
      <c r="M30" s="16"/>
      <c r="O30" s="4" t="str">
        <f t="shared" si="2"/>
        <v>Y</v>
      </c>
      <c r="P30" s="4">
        <v>2</v>
      </c>
      <c r="Q30" s="4">
        <v>2</v>
      </c>
      <c r="R30" s="4">
        <v>3</v>
      </c>
      <c r="S30" s="4" t="s">
        <v>143</v>
      </c>
      <c r="T30" s="4" t="s">
        <v>143</v>
      </c>
      <c r="U30" s="4" t="s">
        <v>143</v>
      </c>
      <c r="W30" s="3" t="s">
        <v>269</v>
      </c>
      <c r="X30" s="3" t="s">
        <v>358</v>
      </c>
      <c r="Y30" s="4">
        <f t="shared" si="5"/>
        <v>113</v>
      </c>
    </row>
    <row r="31" spans="1:25" ht="12" customHeight="1" x14ac:dyDescent="0.15">
      <c r="A31" s="3">
        <v>0</v>
      </c>
      <c r="B31" s="4">
        <v>113</v>
      </c>
      <c r="C31" s="14" t="str">
        <f t="shared" si="0"/>
        <v>Federation</v>
      </c>
      <c r="D31" s="3" t="s">
        <v>82</v>
      </c>
      <c r="E31" s="14">
        <f t="shared" si="6"/>
        <v>23</v>
      </c>
      <c r="F31" s="4">
        <v>3</v>
      </c>
      <c r="H31" s="4">
        <f t="shared" si="3"/>
        <v>26</v>
      </c>
      <c r="I31" s="4" t="str">
        <f t="shared" si="7"/>
        <v/>
      </c>
      <c r="J31" s="4" t="s">
        <v>10</v>
      </c>
      <c r="K31" s="4" t="s">
        <v>7</v>
      </c>
      <c r="L31" s="16" t="s">
        <v>553</v>
      </c>
      <c r="M31" s="16"/>
      <c r="N31" s="16" t="s">
        <v>82</v>
      </c>
      <c r="O31" s="4" t="str">
        <f t="shared" si="2"/>
        <v/>
      </c>
      <c r="P31" s="4">
        <v>4</v>
      </c>
      <c r="Q31" s="4">
        <v>3</v>
      </c>
      <c r="R31" s="4">
        <v>1</v>
      </c>
      <c r="S31" s="4" t="s">
        <v>143</v>
      </c>
      <c r="T31" s="4" t="s">
        <v>143</v>
      </c>
      <c r="U31" s="4" t="s">
        <v>143</v>
      </c>
      <c r="W31" s="3" t="s">
        <v>277</v>
      </c>
      <c r="X31" s="3" t="s">
        <v>313</v>
      </c>
      <c r="Y31" s="4">
        <f t="shared" si="5"/>
        <v>113</v>
      </c>
    </row>
    <row r="32" spans="1:25" ht="12" customHeight="1" x14ac:dyDescent="0.15">
      <c r="B32" s="4">
        <v>113</v>
      </c>
      <c r="C32" s="14" t="str">
        <f t="shared" si="0"/>
        <v>Federation</v>
      </c>
      <c r="D32" s="3" t="s">
        <v>346</v>
      </c>
      <c r="E32" s="14">
        <f t="shared" si="6"/>
        <v>23</v>
      </c>
      <c r="F32" s="4">
        <v>4</v>
      </c>
      <c r="G32" s="4">
        <v>1</v>
      </c>
      <c r="H32" s="4">
        <f t="shared" si="3"/>
        <v>28</v>
      </c>
      <c r="I32" s="4" t="str">
        <f t="shared" si="7"/>
        <v/>
      </c>
      <c r="J32" s="4" t="s">
        <v>10</v>
      </c>
      <c r="K32" s="16" t="s">
        <v>176</v>
      </c>
      <c r="L32" s="16"/>
      <c r="M32" s="16"/>
      <c r="N32" s="16" t="s">
        <v>8</v>
      </c>
      <c r="O32" s="4" t="str">
        <f t="shared" si="2"/>
        <v/>
      </c>
      <c r="P32" s="4">
        <v>1</v>
      </c>
      <c r="W32" s="3" t="s">
        <v>154</v>
      </c>
      <c r="X32" s="5" t="s">
        <v>156</v>
      </c>
      <c r="Y32" s="4">
        <f t="shared" si="5"/>
        <v>113</v>
      </c>
    </row>
    <row r="33" spans="1:25" ht="12" customHeight="1" x14ac:dyDescent="0.15">
      <c r="A33" s="3">
        <v>0</v>
      </c>
      <c r="B33" s="4">
        <v>113</v>
      </c>
      <c r="C33" s="14" t="str">
        <f t="shared" si="0"/>
        <v>Federation</v>
      </c>
      <c r="D33" s="3" t="s">
        <v>347</v>
      </c>
      <c r="E33" s="14">
        <f t="shared" si="6"/>
        <v>23</v>
      </c>
      <c r="F33" s="4">
        <v>3</v>
      </c>
      <c r="H33" s="4">
        <f t="shared" si="3"/>
        <v>26</v>
      </c>
      <c r="I33" s="4" t="str">
        <f t="shared" si="7"/>
        <v/>
      </c>
      <c r="J33" s="4" t="s">
        <v>10</v>
      </c>
      <c r="K33" s="16" t="s">
        <v>176</v>
      </c>
      <c r="L33" s="16"/>
      <c r="M33" s="16"/>
      <c r="N33" s="16" t="s">
        <v>548</v>
      </c>
      <c r="O33" s="4" t="str">
        <f t="shared" si="2"/>
        <v/>
      </c>
      <c r="P33" s="4">
        <v>2</v>
      </c>
      <c r="W33" s="3" t="s">
        <v>228</v>
      </c>
      <c r="X33" s="3" t="s">
        <v>379</v>
      </c>
      <c r="Y33" s="4">
        <f t="shared" si="5"/>
        <v>113</v>
      </c>
    </row>
    <row r="34" spans="1:25" ht="12" customHeight="1" x14ac:dyDescent="0.15">
      <c r="B34" s="4">
        <v>114</v>
      </c>
      <c r="C34" s="14" t="str">
        <f t="shared" si="0"/>
        <v>Romulan</v>
      </c>
      <c r="D34" s="3" t="s">
        <v>207</v>
      </c>
      <c r="E34" s="14">
        <f t="shared" si="6"/>
        <v>18</v>
      </c>
      <c r="F34" s="4">
        <v>2</v>
      </c>
      <c r="H34" s="4">
        <f t="shared" si="3"/>
        <v>20</v>
      </c>
      <c r="I34" s="4" t="str">
        <f t="shared" si="7"/>
        <v/>
      </c>
      <c r="J34" s="4" t="s">
        <v>10</v>
      </c>
      <c r="K34" s="4" t="s">
        <v>7</v>
      </c>
      <c r="L34" s="16" t="s">
        <v>137</v>
      </c>
      <c r="M34" s="16"/>
      <c r="O34" s="4" t="str">
        <f t="shared" si="2"/>
        <v/>
      </c>
      <c r="P34" s="4">
        <v>2</v>
      </c>
      <c r="Q34" s="4">
        <v>1</v>
      </c>
      <c r="R34" s="4">
        <v>3</v>
      </c>
      <c r="S34" s="4" t="s">
        <v>143</v>
      </c>
      <c r="T34" s="4" t="s">
        <v>143</v>
      </c>
      <c r="U34" s="4" t="s">
        <v>143</v>
      </c>
      <c r="W34" s="3" t="s">
        <v>137</v>
      </c>
      <c r="X34" s="3" t="s">
        <v>158</v>
      </c>
      <c r="Y34" s="4">
        <f t="shared" si="5"/>
        <v>114</v>
      </c>
    </row>
    <row r="35" spans="1:25" ht="12" customHeight="1" x14ac:dyDescent="0.15">
      <c r="B35" s="4">
        <v>114</v>
      </c>
      <c r="C35" s="14" t="str">
        <f t="shared" si="0"/>
        <v>Romulan</v>
      </c>
      <c r="D35" s="3" t="s">
        <v>46</v>
      </c>
      <c r="E35" s="14">
        <f t="shared" si="6"/>
        <v>18</v>
      </c>
      <c r="F35" s="4">
        <v>1</v>
      </c>
      <c r="G35" s="4">
        <v>1</v>
      </c>
      <c r="H35" s="4">
        <f t="shared" si="3"/>
        <v>20</v>
      </c>
      <c r="I35" s="4" t="str">
        <f t="shared" si="7"/>
        <v/>
      </c>
      <c r="J35" s="4" t="s">
        <v>10</v>
      </c>
      <c r="K35" s="4" t="s">
        <v>7</v>
      </c>
      <c r="L35" s="16" t="s">
        <v>21</v>
      </c>
      <c r="M35" s="16"/>
      <c r="O35" s="42" t="s">
        <v>572</v>
      </c>
      <c r="P35" s="4">
        <v>2</v>
      </c>
      <c r="Q35" s="4">
        <v>2</v>
      </c>
      <c r="R35" s="4">
        <v>3</v>
      </c>
      <c r="S35" s="4" t="s">
        <v>143</v>
      </c>
      <c r="T35" s="4" t="s">
        <v>143</v>
      </c>
      <c r="U35" s="4" t="s">
        <v>143</v>
      </c>
      <c r="W35" s="3" t="s">
        <v>21</v>
      </c>
      <c r="X35" s="3" t="s">
        <v>358</v>
      </c>
      <c r="Y35" s="4">
        <f t="shared" si="5"/>
        <v>114</v>
      </c>
    </row>
    <row r="36" spans="1:25" ht="12" customHeight="1" x14ac:dyDescent="0.15">
      <c r="B36" s="4">
        <v>114</v>
      </c>
      <c r="C36" s="14" t="str">
        <f t="shared" si="0"/>
        <v>Romulan</v>
      </c>
      <c r="D36" s="3" t="s">
        <v>45</v>
      </c>
      <c r="E36" s="14">
        <f t="shared" si="6"/>
        <v>18</v>
      </c>
      <c r="F36" s="4">
        <v>2</v>
      </c>
      <c r="H36" s="4">
        <f t="shared" si="3"/>
        <v>20</v>
      </c>
      <c r="I36" s="4" t="str">
        <f t="shared" si="7"/>
        <v/>
      </c>
      <c r="J36" s="4" t="s">
        <v>10</v>
      </c>
      <c r="K36" s="16" t="s">
        <v>176</v>
      </c>
      <c r="L36" s="16"/>
      <c r="M36" s="16"/>
      <c r="N36" s="16" t="s">
        <v>549</v>
      </c>
      <c r="O36" s="4" t="str">
        <f t="shared" si="2"/>
        <v/>
      </c>
      <c r="P36" s="4">
        <v>3</v>
      </c>
      <c r="W36" s="3" t="s">
        <v>233</v>
      </c>
      <c r="X36" s="3" t="s">
        <v>232</v>
      </c>
      <c r="Y36" s="4">
        <f t="shared" si="5"/>
        <v>114</v>
      </c>
    </row>
    <row r="37" spans="1:25" ht="12" customHeight="1" x14ac:dyDescent="0.15">
      <c r="B37" s="4">
        <v>114</v>
      </c>
      <c r="C37" s="14" t="str">
        <f t="shared" si="0"/>
        <v>Romulan</v>
      </c>
      <c r="D37" s="3" t="s">
        <v>235</v>
      </c>
      <c r="E37" s="14">
        <f t="shared" si="6"/>
        <v>18</v>
      </c>
      <c r="F37" s="4">
        <v>2</v>
      </c>
      <c r="H37" s="4">
        <f t="shared" si="3"/>
        <v>20</v>
      </c>
      <c r="I37" s="4" t="str">
        <f t="shared" si="7"/>
        <v/>
      </c>
      <c r="J37" s="4" t="s">
        <v>10</v>
      </c>
      <c r="K37" s="16" t="s">
        <v>176</v>
      </c>
      <c r="L37" s="16"/>
      <c r="M37" s="16"/>
      <c r="N37" s="16" t="s">
        <v>545</v>
      </c>
      <c r="O37" s="4" t="str">
        <f t="shared" si="2"/>
        <v/>
      </c>
      <c r="P37" s="4">
        <v>2</v>
      </c>
      <c r="W37" s="3" t="s">
        <v>264</v>
      </c>
      <c r="X37" s="3" t="s">
        <v>343</v>
      </c>
      <c r="Y37" s="4">
        <f t="shared" si="5"/>
        <v>114</v>
      </c>
    </row>
    <row r="38" spans="1:25" ht="12" customHeight="1" x14ac:dyDescent="0.15">
      <c r="B38" s="4">
        <v>115</v>
      </c>
      <c r="C38" s="14" t="str">
        <f t="shared" si="0"/>
        <v>Klingon</v>
      </c>
      <c r="D38" s="3" t="s">
        <v>46</v>
      </c>
      <c r="E38" s="14">
        <f t="shared" si="6"/>
        <v>13</v>
      </c>
      <c r="F38" s="4">
        <v>2</v>
      </c>
      <c r="G38" s="4">
        <v>1</v>
      </c>
      <c r="H38" s="4">
        <f t="shared" si="3"/>
        <v>16</v>
      </c>
      <c r="I38" s="4" t="str">
        <f t="shared" si="7"/>
        <v/>
      </c>
      <c r="J38" s="4" t="s">
        <v>10</v>
      </c>
      <c r="K38" s="4" t="s">
        <v>7</v>
      </c>
      <c r="L38" s="16" t="s">
        <v>21</v>
      </c>
      <c r="M38" s="16"/>
      <c r="P38" s="4">
        <v>2</v>
      </c>
      <c r="Q38" s="4">
        <v>2</v>
      </c>
      <c r="R38" s="4">
        <v>3</v>
      </c>
      <c r="S38" s="4" t="s">
        <v>143</v>
      </c>
      <c r="T38" s="4" t="s">
        <v>143</v>
      </c>
      <c r="U38" s="4" t="s">
        <v>143</v>
      </c>
      <c r="W38" s="3" t="s">
        <v>269</v>
      </c>
      <c r="X38" s="3" t="s">
        <v>340</v>
      </c>
      <c r="Y38" s="4">
        <f t="shared" si="5"/>
        <v>115</v>
      </c>
    </row>
    <row r="39" spans="1:25" ht="12" customHeight="1" x14ac:dyDescent="0.15">
      <c r="B39" s="4">
        <v>115</v>
      </c>
      <c r="C39" s="14" t="str">
        <f t="shared" si="0"/>
        <v>Klingon</v>
      </c>
      <c r="D39" s="3" t="s">
        <v>73</v>
      </c>
      <c r="E39" s="14">
        <f t="shared" si="6"/>
        <v>13</v>
      </c>
      <c r="F39" s="4">
        <v>1</v>
      </c>
      <c r="G39" s="4">
        <v>1</v>
      </c>
      <c r="H39" s="4">
        <v>12</v>
      </c>
      <c r="I39" s="4" t="str">
        <f t="shared" si="7"/>
        <v/>
      </c>
      <c r="J39" s="4" t="s">
        <v>10</v>
      </c>
      <c r="K39" s="4" t="s">
        <v>7</v>
      </c>
      <c r="L39" s="16" t="s">
        <v>553</v>
      </c>
      <c r="M39" s="16"/>
      <c r="N39" s="16" t="s">
        <v>559</v>
      </c>
      <c r="O39" s="4" t="str">
        <f t="shared" si="2"/>
        <v>Y</v>
      </c>
      <c r="P39" s="4">
        <v>4</v>
      </c>
      <c r="Q39" s="4">
        <v>3</v>
      </c>
      <c r="R39" s="4">
        <v>2</v>
      </c>
      <c r="S39" s="4" t="s">
        <v>421</v>
      </c>
      <c r="T39" s="4" t="s">
        <v>143</v>
      </c>
      <c r="U39" s="4" t="s">
        <v>143</v>
      </c>
      <c r="W39" s="3" t="s">
        <v>330</v>
      </c>
      <c r="X39" s="3" t="s">
        <v>280</v>
      </c>
      <c r="Y39" s="4">
        <f t="shared" si="5"/>
        <v>115</v>
      </c>
    </row>
    <row r="40" spans="1:25" ht="12" customHeight="1" x14ac:dyDescent="0.15">
      <c r="B40" s="4">
        <v>115</v>
      </c>
      <c r="C40" s="14" t="str">
        <f t="shared" si="0"/>
        <v>Klingon</v>
      </c>
      <c r="D40" s="3" t="s">
        <v>294</v>
      </c>
      <c r="E40" s="14">
        <f t="shared" si="6"/>
        <v>13</v>
      </c>
      <c r="F40" s="4">
        <v>3</v>
      </c>
      <c r="H40" s="4">
        <f t="shared" si="3"/>
        <v>16</v>
      </c>
      <c r="I40" s="4" t="str">
        <f t="shared" si="7"/>
        <v/>
      </c>
      <c r="J40" s="4" t="s">
        <v>10</v>
      </c>
      <c r="K40" s="16" t="s">
        <v>176</v>
      </c>
      <c r="L40" s="16"/>
      <c r="M40" s="16"/>
      <c r="N40" s="16" t="s">
        <v>545</v>
      </c>
      <c r="O40" s="4" t="str">
        <f t="shared" si="2"/>
        <v/>
      </c>
      <c r="P40" s="4">
        <v>3</v>
      </c>
      <c r="W40" s="3" t="s">
        <v>264</v>
      </c>
      <c r="X40" s="3" t="s">
        <v>295</v>
      </c>
      <c r="Y40" s="4">
        <f t="shared" si="5"/>
        <v>115</v>
      </c>
    </row>
    <row r="41" spans="1:25" ht="12" customHeight="1" x14ac:dyDescent="0.15">
      <c r="A41" s="3">
        <v>0</v>
      </c>
      <c r="B41" s="4">
        <v>115</v>
      </c>
      <c r="C41" s="14" t="str">
        <f t="shared" si="0"/>
        <v>Klingon</v>
      </c>
      <c r="D41" s="3" t="s">
        <v>346</v>
      </c>
      <c r="E41" s="14">
        <f t="shared" si="6"/>
        <v>13</v>
      </c>
      <c r="F41" s="4">
        <v>2</v>
      </c>
      <c r="H41" s="4">
        <f t="shared" si="3"/>
        <v>15</v>
      </c>
      <c r="I41" s="4" t="str">
        <f t="shared" si="7"/>
        <v/>
      </c>
      <c r="J41" s="4" t="s">
        <v>10</v>
      </c>
      <c r="K41" s="16" t="s">
        <v>176</v>
      </c>
      <c r="L41" s="16"/>
      <c r="M41" s="16"/>
      <c r="N41" s="16" t="s">
        <v>8</v>
      </c>
      <c r="O41" s="4" t="str">
        <f t="shared" si="2"/>
        <v/>
      </c>
      <c r="P41" s="4">
        <v>1</v>
      </c>
      <c r="W41" s="3" t="s">
        <v>154</v>
      </c>
      <c r="X41" s="5" t="s">
        <v>156</v>
      </c>
      <c r="Y41" s="4">
        <f t="shared" si="5"/>
        <v>115</v>
      </c>
    </row>
    <row r="42" spans="1:25" ht="12" customHeight="1" x14ac:dyDescent="0.15">
      <c r="B42" s="4">
        <v>116</v>
      </c>
      <c r="C42" s="14" t="str">
        <f t="shared" si="0"/>
        <v>Ferengi</v>
      </c>
      <c r="D42" s="3" t="s">
        <v>41</v>
      </c>
      <c r="E42" s="14">
        <f t="shared" si="6"/>
        <v>15</v>
      </c>
      <c r="F42" s="4">
        <v>7</v>
      </c>
      <c r="H42" s="4">
        <f t="shared" si="3"/>
        <v>22</v>
      </c>
      <c r="I42" s="4" t="str">
        <f t="shared" si="7"/>
        <v/>
      </c>
      <c r="J42" s="4" t="s">
        <v>10</v>
      </c>
      <c r="K42" s="4" t="s">
        <v>7</v>
      </c>
      <c r="L42" s="16" t="s">
        <v>137</v>
      </c>
      <c r="M42" s="16"/>
      <c r="O42" s="4" t="str">
        <f t="shared" si="2"/>
        <v/>
      </c>
      <c r="P42" s="4">
        <v>1</v>
      </c>
      <c r="Q42" s="4">
        <v>1</v>
      </c>
      <c r="R42" s="4">
        <v>3</v>
      </c>
      <c r="S42" s="4" t="s">
        <v>143</v>
      </c>
      <c r="T42" s="4" t="s">
        <v>143</v>
      </c>
      <c r="U42" s="4" t="s">
        <v>143</v>
      </c>
      <c r="W42" s="3" t="s">
        <v>429</v>
      </c>
      <c r="X42" s="3" t="s">
        <v>143</v>
      </c>
      <c r="Y42" s="4">
        <f t="shared" si="5"/>
        <v>116</v>
      </c>
    </row>
    <row r="43" spans="1:25" ht="12" customHeight="1" x14ac:dyDescent="0.15">
      <c r="B43" s="4">
        <v>116</v>
      </c>
      <c r="C43" s="14" t="str">
        <f t="shared" si="0"/>
        <v>Ferengi</v>
      </c>
      <c r="D43" s="3" t="s">
        <v>40</v>
      </c>
      <c r="E43" s="14">
        <f t="shared" si="6"/>
        <v>15</v>
      </c>
      <c r="F43" s="4">
        <v>1</v>
      </c>
      <c r="G43" s="4">
        <v>7</v>
      </c>
      <c r="H43" s="4">
        <f t="shared" si="3"/>
        <v>23</v>
      </c>
      <c r="I43" s="4" t="str">
        <f t="shared" si="7"/>
        <v/>
      </c>
      <c r="J43" s="4" t="s">
        <v>10</v>
      </c>
      <c r="K43" s="4" t="s">
        <v>7</v>
      </c>
      <c r="L43" s="16" t="s">
        <v>553</v>
      </c>
      <c r="M43" s="16"/>
      <c r="O43" s="4" t="str">
        <f t="shared" si="2"/>
        <v>Y</v>
      </c>
      <c r="P43" s="4">
        <v>5</v>
      </c>
      <c r="Q43" s="4">
        <v>4</v>
      </c>
      <c r="R43" s="4">
        <v>0</v>
      </c>
      <c r="S43" s="4" t="s">
        <v>409</v>
      </c>
      <c r="T43" s="4" t="s">
        <v>411</v>
      </c>
      <c r="U43" s="4" t="s">
        <v>143</v>
      </c>
      <c r="W43" s="3" t="s">
        <v>183</v>
      </c>
      <c r="X43" s="3" t="s">
        <v>371</v>
      </c>
      <c r="Y43" s="4">
        <f t="shared" si="5"/>
        <v>116</v>
      </c>
    </row>
    <row r="44" spans="1:25" ht="12" customHeight="1" x14ac:dyDescent="0.15">
      <c r="B44" s="4">
        <v>116</v>
      </c>
      <c r="C44" s="14" t="str">
        <f t="shared" si="0"/>
        <v>Ferengi</v>
      </c>
      <c r="D44" s="3" t="s">
        <v>21</v>
      </c>
      <c r="E44" s="14">
        <f t="shared" si="6"/>
        <v>15</v>
      </c>
      <c r="F44" s="4">
        <v>7</v>
      </c>
      <c r="H44" s="4">
        <f t="shared" si="3"/>
        <v>22</v>
      </c>
      <c r="I44" s="4" t="str">
        <f t="shared" si="7"/>
        <v/>
      </c>
      <c r="J44" s="4" t="s">
        <v>10</v>
      </c>
      <c r="K44" s="4" t="s">
        <v>7</v>
      </c>
      <c r="L44" s="16" t="s">
        <v>21</v>
      </c>
      <c r="M44" s="16"/>
      <c r="N44" s="16"/>
      <c r="O44" s="4" t="str">
        <f t="shared" si="2"/>
        <v/>
      </c>
      <c r="P44" s="4">
        <v>0</v>
      </c>
      <c r="Q44" s="4">
        <v>0</v>
      </c>
      <c r="R44" s="4">
        <v>3</v>
      </c>
      <c r="S44" s="4" t="s">
        <v>143</v>
      </c>
      <c r="T44" s="4" t="s">
        <v>143</v>
      </c>
      <c r="U44" s="4" t="s">
        <v>143</v>
      </c>
      <c r="W44" s="3" t="s">
        <v>428</v>
      </c>
      <c r="X44" s="3" t="s">
        <v>143</v>
      </c>
      <c r="Y44" s="4">
        <f t="shared" si="5"/>
        <v>116</v>
      </c>
    </row>
    <row r="45" spans="1:25" ht="12" customHeight="1" x14ac:dyDescent="0.15">
      <c r="B45" s="4">
        <v>116</v>
      </c>
      <c r="C45" s="14" t="str">
        <f t="shared" si="0"/>
        <v>Ferengi</v>
      </c>
      <c r="D45" s="3" t="s">
        <v>346</v>
      </c>
      <c r="E45" s="14">
        <f t="shared" si="6"/>
        <v>15</v>
      </c>
      <c r="F45" s="4">
        <v>5</v>
      </c>
      <c r="G45" s="4">
        <v>3</v>
      </c>
      <c r="H45" s="4">
        <f t="shared" si="3"/>
        <v>23</v>
      </c>
      <c r="I45" s="4" t="str">
        <f t="shared" si="7"/>
        <v/>
      </c>
      <c r="J45" s="4" t="s">
        <v>10</v>
      </c>
      <c r="K45" s="16" t="s">
        <v>176</v>
      </c>
      <c r="L45" s="16"/>
      <c r="M45" s="16"/>
      <c r="N45" s="16" t="s">
        <v>8</v>
      </c>
      <c r="O45" s="4" t="str">
        <f t="shared" si="2"/>
        <v/>
      </c>
      <c r="P45" s="4">
        <v>1</v>
      </c>
      <c r="W45" s="3" t="s">
        <v>154</v>
      </c>
      <c r="X45" s="5" t="s">
        <v>156</v>
      </c>
      <c r="Y45" s="4">
        <f t="shared" si="5"/>
        <v>116</v>
      </c>
    </row>
    <row r="46" spans="1:25" ht="12" customHeight="1" x14ac:dyDescent="0.15">
      <c r="A46" s="3">
        <v>0</v>
      </c>
      <c r="B46" s="4">
        <v>117</v>
      </c>
      <c r="C46" s="14" t="str">
        <f t="shared" si="0"/>
        <v>Federation</v>
      </c>
      <c r="D46" s="3" t="s">
        <v>83</v>
      </c>
      <c r="E46" s="14">
        <f t="shared" si="6"/>
        <v>17</v>
      </c>
      <c r="F46" s="4">
        <v>1</v>
      </c>
      <c r="G46" s="4">
        <v>6</v>
      </c>
      <c r="H46" s="4">
        <f t="shared" si="3"/>
        <v>24</v>
      </c>
      <c r="I46" s="4" t="str">
        <f t="shared" si="7"/>
        <v/>
      </c>
      <c r="J46" s="4" t="s">
        <v>10</v>
      </c>
      <c r="K46" s="4" t="s">
        <v>7</v>
      </c>
      <c r="N46" s="16" t="s">
        <v>319</v>
      </c>
      <c r="O46" s="4" t="str">
        <f t="shared" si="2"/>
        <v>Y</v>
      </c>
      <c r="P46" s="4">
        <v>3</v>
      </c>
      <c r="Q46" s="4">
        <v>3</v>
      </c>
      <c r="R46" s="4">
        <v>1</v>
      </c>
      <c r="S46" s="4" t="s">
        <v>143</v>
      </c>
      <c r="T46" s="4" t="s">
        <v>143</v>
      </c>
      <c r="U46" s="4" t="s">
        <v>143</v>
      </c>
      <c r="W46" s="3" t="s">
        <v>312</v>
      </c>
      <c r="X46" s="3" t="s">
        <v>311</v>
      </c>
      <c r="Y46" s="4">
        <f t="shared" si="5"/>
        <v>117</v>
      </c>
    </row>
    <row r="47" spans="1:25" ht="12" customHeight="1" x14ac:dyDescent="0.15">
      <c r="A47" s="3">
        <v>0</v>
      </c>
      <c r="B47" s="4">
        <v>117</v>
      </c>
      <c r="C47" s="14" t="str">
        <f t="shared" si="0"/>
        <v>Federation</v>
      </c>
      <c r="D47" s="3" t="s">
        <v>84</v>
      </c>
      <c r="E47" s="14">
        <f t="shared" si="6"/>
        <v>17</v>
      </c>
      <c r="F47" s="4">
        <v>1</v>
      </c>
      <c r="G47" s="4">
        <v>5</v>
      </c>
      <c r="H47" s="4">
        <f t="shared" si="3"/>
        <v>23</v>
      </c>
      <c r="I47" s="4" t="str">
        <f t="shared" si="7"/>
        <v/>
      </c>
      <c r="J47" s="4" t="s">
        <v>10</v>
      </c>
      <c r="K47" s="4" t="s">
        <v>7</v>
      </c>
      <c r="L47" s="16" t="s">
        <v>137</v>
      </c>
      <c r="M47" s="16"/>
      <c r="O47" s="4" t="str">
        <f t="shared" si="2"/>
        <v>Y</v>
      </c>
      <c r="P47" s="4">
        <v>3</v>
      </c>
      <c r="Q47" s="4">
        <v>2</v>
      </c>
      <c r="R47" s="4">
        <v>3</v>
      </c>
      <c r="S47" s="4" t="s">
        <v>143</v>
      </c>
      <c r="T47" s="4" t="s">
        <v>143</v>
      </c>
      <c r="U47" s="4" t="s">
        <v>143</v>
      </c>
      <c r="W47" s="3" t="s">
        <v>174</v>
      </c>
      <c r="X47" s="3" t="s">
        <v>358</v>
      </c>
      <c r="Y47" s="4">
        <f t="shared" si="5"/>
        <v>117</v>
      </c>
    </row>
    <row r="48" spans="1:25" ht="12" customHeight="1" x14ac:dyDescent="0.15">
      <c r="A48" s="3">
        <v>0</v>
      </c>
      <c r="B48" s="4">
        <v>117</v>
      </c>
      <c r="C48" s="14" t="str">
        <f t="shared" si="0"/>
        <v>Federation</v>
      </c>
      <c r="D48" s="3" t="s">
        <v>76</v>
      </c>
      <c r="E48" s="14">
        <f t="shared" si="6"/>
        <v>17</v>
      </c>
      <c r="F48" s="4">
        <v>7</v>
      </c>
      <c r="H48" s="4">
        <f t="shared" si="3"/>
        <v>24</v>
      </c>
      <c r="I48" s="4" t="str">
        <f t="shared" si="7"/>
        <v/>
      </c>
      <c r="J48" s="4" t="s">
        <v>10</v>
      </c>
      <c r="K48" s="4" t="s">
        <v>7</v>
      </c>
      <c r="L48" s="16" t="s">
        <v>21</v>
      </c>
      <c r="M48" s="16"/>
      <c r="O48" s="4" t="str">
        <f t="shared" si="2"/>
        <v/>
      </c>
      <c r="P48" s="4">
        <v>1</v>
      </c>
      <c r="Q48" s="4">
        <v>1</v>
      </c>
      <c r="R48" s="4">
        <v>3</v>
      </c>
      <c r="S48" s="4" t="s">
        <v>143</v>
      </c>
      <c r="T48" s="4" t="s">
        <v>143</v>
      </c>
      <c r="U48" s="4" t="s">
        <v>143</v>
      </c>
      <c r="W48" s="3" t="s">
        <v>21</v>
      </c>
      <c r="X48" s="3" t="s">
        <v>158</v>
      </c>
      <c r="Y48" s="4">
        <f t="shared" si="5"/>
        <v>117</v>
      </c>
    </row>
    <row r="49" spans="2:25" ht="12" customHeight="1" x14ac:dyDescent="0.15">
      <c r="B49" s="4">
        <v>117</v>
      </c>
      <c r="C49" s="14" t="str">
        <f t="shared" si="0"/>
        <v>Federation</v>
      </c>
      <c r="D49" s="3" t="s">
        <v>294</v>
      </c>
      <c r="E49" s="14">
        <f t="shared" si="6"/>
        <v>17</v>
      </c>
      <c r="F49" s="4">
        <v>5</v>
      </c>
      <c r="G49" s="4">
        <v>3</v>
      </c>
      <c r="H49" s="4">
        <f t="shared" si="3"/>
        <v>25</v>
      </c>
      <c r="I49" s="4" t="str">
        <f t="shared" si="7"/>
        <v/>
      </c>
      <c r="J49" s="4" t="s">
        <v>10</v>
      </c>
      <c r="K49" s="16" t="s">
        <v>176</v>
      </c>
      <c r="L49" s="16"/>
      <c r="M49" s="16"/>
      <c r="N49" s="16" t="s">
        <v>545</v>
      </c>
      <c r="O49" s="4" t="str">
        <f t="shared" si="2"/>
        <v/>
      </c>
      <c r="P49" s="4">
        <v>3</v>
      </c>
      <c r="W49" s="3" t="s">
        <v>264</v>
      </c>
      <c r="X49" s="5" t="s">
        <v>295</v>
      </c>
      <c r="Y49" s="4">
        <f t="shared" si="5"/>
        <v>117</v>
      </c>
    </row>
    <row r="50" spans="2:25" ht="12" customHeight="1" x14ac:dyDescent="0.15">
      <c r="B50" s="4">
        <v>118</v>
      </c>
      <c r="C50" s="14" t="str">
        <f t="shared" si="0"/>
        <v>Romulan</v>
      </c>
      <c r="D50" s="3" t="s">
        <v>350</v>
      </c>
      <c r="E50" s="14">
        <f t="shared" si="6"/>
        <v>10</v>
      </c>
      <c r="F50" s="4">
        <v>3</v>
      </c>
      <c r="H50" s="4">
        <f t="shared" si="3"/>
        <v>13</v>
      </c>
      <c r="I50" s="4" t="str">
        <f t="shared" si="7"/>
        <v/>
      </c>
      <c r="J50" s="4" t="s">
        <v>10</v>
      </c>
      <c r="K50" s="4" t="s">
        <v>7</v>
      </c>
      <c r="L50" s="16" t="s">
        <v>137</v>
      </c>
      <c r="M50" s="16"/>
      <c r="O50" s="4" t="str">
        <f t="shared" si="2"/>
        <v/>
      </c>
      <c r="P50" s="4">
        <v>3</v>
      </c>
      <c r="Q50" s="4">
        <v>2</v>
      </c>
      <c r="R50" s="4">
        <v>3</v>
      </c>
      <c r="S50" s="4" t="s">
        <v>143</v>
      </c>
      <c r="T50" s="4" t="s">
        <v>143</v>
      </c>
      <c r="U50" s="4" t="s">
        <v>143</v>
      </c>
      <c r="W50" s="3" t="s">
        <v>137</v>
      </c>
      <c r="X50" s="3" t="s">
        <v>358</v>
      </c>
      <c r="Y50" s="4">
        <f t="shared" si="5"/>
        <v>118</v>
      </c>
    </row>
    <row r="51" spans="2:25" ht="12" customHeight="1" x14ac:dyDescent="0.15">
      <c r="B51" s="4">
        <v>118</v>
      </c>
      <c r="C51" s="14" t="str">
        <f t="shared" si="0"/>
        <v>Romulan</v>
      </c>
      <c r="D51" s="3" t="s">
        <v>25</v>
      </c>
      <c r="E51" s="14">
        <f t="shared" si="6"/>
        <v>10</v>
      </c>
      <c r="F51" s="4">
        <v>5</v>
      </c>
      <c r="H51" s="4">
        <f t="shared" si="3"/>
        <v>15</v>
      </c>
      <c r="I51" s="4" t="str">
        <f t="shared" si="7"/>
        <v/>
      </c>
      <c r="J51" s="4" t="s">
        <v>10</v>
      </c>
      <c r="K51" s="4" t="s">
        <v>7</v>
      </c>
      <c r="L51" s="16" t="s">
        <v>561</v>
      </c>
      <c r="M51" s="16"/>
      <c r="N51" s="16" t="s">
        <v>319</v>
      </c>
      <c r="O51" s="4" t="str">
        <f t="shared" si="2"/>
        <v/>
      </c>
      <c r="P51" s="4">
        <v>2</v>
      </c>
      <c r="Q51" s="4">
        <v>2</v>
      </c>
      <c r="R51" s="4">
        <v>1</v>
      </c>
      <c r="S51" s="4" t="s">
        <v>143</v>
      </c>
      <c r="T51" s="4" t="s">
        <v>143</v>
      </c>
      <c r="U51" s="4" t="s">
        <v>143</v>
      </c>
      <c r="W51" s="3" t="s">
        <v>216</v>
      </c>
      <c r="X51" s="3" t="s">
        <v>367</v>
      </c>
      <c r="Y51" s="4">
        <f t="shared" si="5"/>
        <v>118</v>
      </c>
    </row>
    <row r="52" spans="2:25" ht="12" customHeight="1" x14ac:dyDescent="0.15">
      <c r="B52" s="4">
        <v>118</v>
      </c>
      <c r="C52" s="14" t="str">
        <f t="shared" si="0"/>
        <v>Romulan</v>
      </c>
      <c r="D52" s="3" t="s">
        <v>24</v>
      </c>
      <c r="E52" s="14">
        <f t="shared" si="6"/>
        <v>10</v>
      </c>
      <c r="F52" s="4">
        <v>1</v>
      </c>
      <c r="G52" s="4">
        <v>4</v>
      </c>
      <c r="H52" s="4">
        <f t="shared" si="3"/>
        <v>15</v>
      </c>
      <c r="I52" s="4" t="str">
        <f t="shared" si="7"/>
        <v/>
      </c>
      <c r="J52" s="4" t="s">
        <v>10</v>
      </c>
      <c r="K52" s="4" t="s">
        <v>7</v>
      </c>
      <c r="L52" s="16" t="s">
        <v>553</v>
      </c>
      <c r="M52" s="16"/>
      <c r="N52" s="16" t="s">
        <v>86</v>
      </c>
      <c r="O52" s="4" t="str">
        <f t="shared" si="2"/>
        <v>Y</v>
      </c>
      <c r="P52" s="4">
        <v>3</v>
      </c>
      <c r="Q52" s="4">
        <v>3</v>
      </c>
      <c r="R52" s="4">
        <v>3</v>
      </c>
      <c r="S52" s="4" t="s">
        <v>414</v>
      </c>
      <c r="T52" s="4" t="s">
        <v>409</v>
      </c>
      <c r="U52" s="4" t="s">
        <v>143</v>
      </c>
      <c r="W52" s="3" t="s">
        <v>167</v>
      </c>
      <c r="X52" s="3" t="s">
        <v>177</v>
      </c>
      <c r="Y52" s="4">
        <f t="shared" si="5"/>
        <v>118</v>
      </c>
    </row>
    <row r="53" spans="2:25" ht="12" customHeight="1" x14ac:dyDescent="0.15">
      <c r="B53" s="4">
        <v>118</v>
      </c>
      <c r="C53" s="14" t="str">
        <f t="shared" si="0"/>
        <v>Romulan</v>
      </c>
      <c r="D53" s="3" t="s">
        <v>23</v>
      </c>
      <c r="E53" s="14">
        <f t="shared" si="6"/>
        <v>10</v>
      </c>
      <c r="F53" s="4">
        <v>5</v>
      </c>
      <c r="H53" s="4">
        <f t="shared" si="3"/>
        <v>15</v>
      </c>
      <c r="I53" s="4" t="str">
        <f t="shared" si="7"/>
        <v/>
      </c>
      <c r="J53" s="4" t="s">
        <v>10</v>
      </c>
      <c r="K53" s="16" t="s">
        <v>176</v>
      </c>
      <c r="L53" s="16"/>
      <c r="M53" s="16"/>
      <c r="N53" s="16" t="s">
        <v>550</v>
      </c>
      <c r="O53" s="4" t="str">
        <f t="shared" si="2"/>
        <v/>
      </c>
      <c r="P53" s="4">
        <v>3</v>
      </c>
      <c r="W53" s="3" t="s">
        <v>205</v>
      </c>
      <c r="X53" s="5" t="s">
        <v>262</v>
      </c>
      <c r="Y53" s="4">
        <f t="shared" si="5"/>
        <v>118</v>
      </c>
    </row>
    <row r="54" spans="2:25" ht="12" customHeight="1" x14ac:dyDescent="0.15">
      <c r="B54" s="4">
        <v>119</v>
      </c>
      <c r="C54" s="14" t="str">
        <f t="shared" si="0"/>
        <v>Klingon</v>
      </c>
      <c r="D54" s="3" t="s">
        <v>75</v>
      </c>
      <c r="E54" s="14">
        <f t="shared" si="6"/>
        <v>11</v>
      </c>
      <c r="F54" s="4">
        <v>1</v>
      </c>
      <c r="G54" s="4">
        <v>3</v>
      </c>
      <c r="H54" s="4">
        <f t="shared" si="3"/>
        <v>15</v>
      </c>
      <c r="I54" s="4" t="str">
        <f t="shared" si="7"/>
        <v/>
      </c>
      <c r="J54" s="4" t="s">
        <v>10</v>
      </c>
      <c r="K54" s="4" t="s">
        <v>7</v>
      </c>
      <c r="L54" s="16" t="s">
        <v>137</v>
      </c>
      <c r="M54" s="16"/>
      <c r="O54" s="4" t="str">
        <f t="shared" si="2"/>
        <v>Y</v>
      </c>
      <c r="P54" s="4">
        <v>3</v>
      </c>
      <c r="Q54" s="4">
        <v>2</v>
      </c>
      <c r="R54" s="4">
        <v>3</v>
      </c>
      <c r="S54" s="4" t="s">
        <v>143</v>
      </c>
      <c r="T54" s="4" t="s">
        <v>143</v>
      </c>
      <c r="U54" s="4" t="s">
        <v>143</v>
      </c>
      <c r="W54" s="3" t="s">
        <v>174</v>
      </c>
      <c r="X54" s="3" t="s">
        <v>358</v>
      </c>
      <c r="Y54" s="4">
        <f t="shared" si="5"/>
        <v>119</v>
      </c>
    </row>
    <row r="55" spans="2:25" ht="12" customHeight="1" x14ac:dyDescent="0.15">
      <c r="B55" s="4">
        <v>119</v>
      </c>
      <c r="C55" s="14" t="str">
        <f t="shared" si="0"/>
        <v>Klingon</v>
      </c>
      <c r="D55" s="3" t="s">
        <v>76</v>
      </c>
      <c r="E55" s="14">
        <f t="shared" si="6"/>
        <v>11</v>
      </c>
      <c r="F55" s="4">
        <v>5</v>
      </c>
      <c r="H55" s="4">
        <f t="shared" si="3"/>
        <v>16</v>
      </c>
      <c r="I55" s="4" t="str">
        <f t="shared" si="7"/>
        <v/>
      </c>
      <c r="J55" s="4" t="s">
        <v>10</v>
      </c>
      <c r="K55" s="4" t="s">
        <v>7</v>
      </c>
      <c r="L55" s="16" t="s">
        <v>21</v>
      </c>
      <c r="M55" s="16"/>
      <c r="O55" s="4" t="str">
        <f t="shared" si="2"/>
        <v/>
      </c>
      <c r="P55" s="4">
        <v>1</v>
      </c>
      <c r="Q55" s="4">
        <v>1</v>
      </c>
      <c r="R55" s="4">
        <v>3</v>
      </c>
      <c r="S55" s="4" t="s">
        <v>143</v>
      </c>
      <c r="T55" s="4" t="s">
        <v>143</v>
      </c>
      <c r="U55" s="4" t="s">
        <v>143</v>
      </c>
      <c r="W55" s="3" t="s">
        <v>21</v>
      </c>
      <c r="X55" s="3" t="s">
        <v>158</v>
      </c>
      <c r="Y55" s="4">
        <f t="shared" si="5"/>
        <v>119</v>
      </c>
    </row>
    <row r="56" spans="2:25" ht="12" customHeight="1" x14ac:dyDescent="0.15">
      <c r="B56" s="4">
        <v>119</v>
      </c>
      <c r="C56" s="14" t="str">
        <f t="shared" si="0"/>
        <v>Klingon</v>
      </c>
      <c r="D56" s="3" t="s">
        <v>74</v>
      </c>
      <c r="E56" s="14">
        <f t="shared" si="6"/>
        <v>11</v>
      </c>
      <c r="F56" s="4">
        <v>4</v>
      </c>
      <c r="H56" s="4">
        <f t="shared" si="3"/>
        <v>15</v>
      </c>
      <c r="I56" s="4" t="str">
        <f t="shared" si="7"/>
        <v/>
      </c>
      <c r="J56" s="4" t="s">
        <v>10</v>
      </c>
      <c r="K56" s="4" t="s">
        <v>7</v>
      </c>
      <c r="L56" s="16" t="s">
        <v>553</v>
      </c>
      <c r="M56" s="16"/>
      <c r="N56" s="16" t="s">
        <v>82</v>
      </c>
      <c r="O56" s="4" t="str">
        <f t="shared" si="2"/>
        <v/>
      </c>
      <c r="P56" s="4">
        <v>4</v>
      </c>
      <c r="Q56" s="4">
        <v>3</v>
      </c>
      <c r="R56" s="4">
        <v>1</v>
      </c>
      <c r="S56" s="4" t="s">
        <v>143</v>
      </c>
      <c r="T56" s="4" t="s">
        <v>143</v>
      </c>
      <c r="U56" s="4" t="s">
        <v>143</v>
      </c>
      <c r="W56" s="3" t="s">
        <v>277</v>
      </c>
      <c r="X56" s="3" t="s">
        <v>206</v>
      </c>
      <c r="Y56" s="4">
        <f t="shared" si="5"/>
        <v>119</v>
      </c>
    </row>
    <row r="57" spans="2:25" ht="12" customHeight="1" x14ac:dyDescent="0.15">
      <c r="B57" s="4">
        <v>119</v>
      </c>
      <c r="C57" s="14" t="str">
        <f t="shared" si="0"/>
        <v>Klingon</v>
      </c>
      <c r="D57" s="3" t="s">
        <v>266</v>
      </c>
      <c r="E57" s="14">
        <f t="shared" si="6"/>
        <v>11</v>
      </c>
      <c r="F57" s="4">
        <v>4</v>
      </c>
      <c r="H57" s="4">
        <f t="shared" si="3"/>
        <v>15</v>
      </c>
      <c r="I57" s="4" t="str">
        <f t="shared" si="7"/>
        <v/>
      </c>
      <c r="J57" s="4" t="s">
        <v>10</v>
      </c>
      <c r="K57" s="16" t="s">
        <v>176</v>
      </c>
      <c r="L57" s="16"/>
      <c r="M57" s="16"/>
      <c r="N57" s="16" t="s">
        <v>546</v>
      </c>
      <c r="O57" s="4" t="str">
        <f t="shared" si="2"/>
        <v/>
      </c>
      <c r="P57" s="4">
        <v>4</v>
      </c>
      <c r="W57" s="3" t="s">
        <v>231</v>
      </c>
      <c r="X57" s="5" t="s">
        <v>230</v>
      </c>
      <c r="Y57" s="4">
        <f t="shared" si="5"/>
        <v>119</v>
      </c>
    </row>
    <row r="58" spans="2:25" ht="12" customHeight="1" x14ac:dyDescent="0.15">
      <c r="B58" s="4">
        <v>120</v>
      </c>
      <c r="C58" s="14" t="str">
        <f t="shared" si="0"/>
        <v>Cardassian</v>
      </c>
      <c r="D58" s="3" t="s">
        <v>12</v>
      </c>
      <c r="E58" s="14">
        <f t="shared" si="6"/>
        <v>6</v>
      </c>
      <c r="F58" s="4">
        <v>5</v>
      </c>
      <c r="H58" s="4">
        <f t="shared" si="3"/>
        <v>11</v>
      </c>
      <c r="I58" s="4" t="str">
        <f t="shared" si="7"/>
        <v/>
      </c>
      <c r="J58" s="4" t="s">
        <v>10</v>
      </c>
      <c r="K58" s="4" t="s">
        <v>7</v>
      </c>
      <c r="L58" s="16" t="s">
        <v>21</v>
      </c>
      <c r="M58" s="16"/>
      <c r="O58" s="4" t="str">
        <f t="shared" si="2"/>
        <v/>
      </c>
      <c r="P58" s="4">
        <v>1</v>
      </c>
      <c r="Q58" s="4">
        <v>1</v>
      </c>
      <c r="R58" s="4">
        <v>3</v>
      </c>
      <c r="S58" s="4" t="s">
        <v>143</v>
      </c>
      <c r="T58" s="4" t="s">
        <v>143</v>
      </c>
      <c r="U58" s="4" t="s">
        <v>143</v>
      </c>
      <c r="W58" s="3" t="s">
        <v>21</v>
      </c>
      <c r="X58" s="3" t="s">
        <v>158</v>
      </c>
      <c r="Y58" s="4">
        <f t="shared" si="5"/>
        <v>120</v>
      </c>
    </row>
    <row r="59" spans="2:25" ht="12" customHeight="1" x14ac:dyDescent="0.15">
      <c r="B59" s="4">
        <v>120</v>
      </c>
      <c r="C59" s="14" t="str">
        <f t="shared" si="0"/>
        <v>Cardassian</v>
      </c>
      <c r="D59" s="3" t="s">
        <v>11</v>
      </c>
      <c r="E59" s="14">
        <f t="shared" si="6"/>
        <v>6</v>
      </c>
      <c r="F59" s="4">
        <v>1</v>
      </c>
      <c r="G59" s="4">
        <v>4</v>
      </c>
      <c r="H59" s="4">
        <f t="shared" si="3"/>
        <v>11</v>
      </c>
      <c r="I59" s="4" t="str">
        <f t="shared" si="7"/>
        <v/>
      </c>
      <c r="J59" s="4" t="s">
        <v>10</v>
      </c>
      <c r="K59" s="4" t="s">
        <v>7</v>
      </c>
      <c r="L59" s="16" t="s">
        <v>553</v>
      </c>
      <c r="M59" s="16"/>
      <c r="N59" s="16" t="s">
        <v>556</v>
      </c>
      <c r="O59" s="4" t="str">
        <f t="shared" si="2"/>
        <v>Y</v>
      </c>
      <c r="P59" s="4">
        <v>8</v>
      </c>
      <c r="Q59" s="4">
        <v>6</v>
      </c>
      <c r="R59" s="4">
        <v>2</v>
      </c>
      <c r="S59" s="4" t="s">
        <v>420</v>
      </c>
      <c r="T59" s="4" t="s">
        <v>418</v>
      </c>
      <c r="U59" s="4" t="s">
        <v>143</v>
      </c>
      <c r="W59" s="3" t="s">
        <v>204</v>
      </c>
      <c r="X59" s="3" t="s">
        <v>144</v>
      </c>
      <c r="Y59" s="4">
        <f t="shared" si="5"/>
        <v>120</v>
      </c>
    </row>
    <row r="60" spans="2:25" ht="12" customHeight="1" x14ac:dyDescent="0.15">
      <c r="B60" s="4">
        <v>120</v>
      </c>
      <c r="C60" s="14" t="str">
        <f t="shared" si="0"/>
        <v>Cardassian</v>
      </c>
      <c r="D60" s="18" t="s">
        <v>479</v>
      </c>
      <c r="E60" s="14">
        <f t="shared" si="6"/>
        <v>6</v>
      </c>
      <c r="F60" s="4">
        <v>1</v>
      </c>
      <c r="G60" s="4">
        <v>4</v>
      </c>
      <c r="H60" s="4">
        <f t="shared" si="3"/>
        <v>11</v>
      </c>
      <c r="I60" s="4" t="str">
        <f t="shared" si="7"/>
        <v/>
      </c>
      <c r="J60" s="4" t="s">
        <v>10</v>
      </c>
      <c r="K60" s="4" t="s">
        <v>7</v>
      </c>
      <c r="L60" s="16" t="s">
        <v>553</v>
      </c>
      <c r="M60" s="16"/>
      <c r="N60" s="16" t="s">
        <v>86</v>
      </c>
      <c r="O60" s="4" t="str">
        <f t="shared" si="2"/>
        <v>Y</v>
      </c>
      <c r="P60" s="4">
        <v>3</v>
      </c>
      <c r="Q60" s="4">
        <v>4</v>
      </c>
      <c r="R60" s="4">
        <v>2</v>
      </c>
      <c r="S60" s="4" t="s">
        <v>409</v>
      </c>
      <c r="T60" s="4" t="s">
        <v>411</v>
      </c>
      <c r="U60" s="4" t="s">
        <v>143</v>
      </c>
      <c r="W60" s="3" t="s">
        <v>167</v>
      </c>
      <c r="X60" s="3" t="s">
        <v>359</v>
      </c>
      <c r="Y60" s="4">
        <f t="shared" si="5"/>
        <v>120</v>
      </c>
    </row>
    <row r="61" spans="2:25" ht="12" customHeight="1" x14ac:dyDescent="0.15">
      <c r="B61" s="4">
        <v>120</v>
      </c>
      <c r="C61" s="14" t="str">
        <f t="shared" si="0"/>
        <v>Cardassian</v>
      </c>
      <c r="D61" s="3" t="s">
        <v>344</v>
      </c>
      <c r="E61" s="14">
        <f t="shared" si="6"/>
        <v>6</v>
      </c>
      <c r="F61" s="4">
        <v>5</v>
      </c>
      <c r="H61" s="4">
        <f t="shared" si="3"/>
        <v>11</v>
      </c>
      <c r="I61" s="4" t="str">
        <f t="shared" si="7"/>
        <v/>
      </c>
      <c r="J61" s="4" t="s">
        <v>10</v>
      </c>
      <c r="K61" s="16" t="s">
        <v>176</v>
      </c>
      <c r="L61" s="16"/>
      <c r="M61" s="16"/>
      <c r="N61" s="16" t="s">
        <v>8</v>
      </c>
      <c r="O61" s="4" t="str">
        <f t="shared" si="2"/>
        <v/>
      </c>
      <c r="P61" s="4">
        <v>1</v>
      </c>
      <c r="W61" s="3" t="s">
        <v>154</v>
      </c>
      <c r="X61" s="5" t="s">
        <v>156</v>
      </c>
      <c r="Y61" s="4">
        <f t="shared" si="5"/>
        <v>120</v>
      </c>
    </row>
    <row r="62" spans="2:25" ht="12" customHeight="1" x14ac:dyDescent="0.15">
      <c r="B62" s="4">
        <v>121</v>
      </c>
      <c r="C62" s="14" t="str">
        <f t="shared" si="0"/>
        <v>Federation</v>
      </c>
      <c r="D62" s="3" t="s">
        <v>302</v>
      </c>
      <c r="E62" s="14">
        <f t="shared" si="6"/>
        <v>5</v>
      </c>
      <c r="F62" s="4">
        <v>1</v>
      </c>
      <c r="G62" s="4">
        <v>1</v>
      </c>
      <c r="H62" s="4">
        <f t="shared" si="3"/>
        <v>7</v>
      </c>
      <c r="I62" s="4" t="str">
        <f t="shared" si="7"/>
        <v/>
      </c>
      <c r="J62" s="4" t="s">
        <v>4</v>
      </c>
      <c r="K62" s="4" t="s">
        <v>7</v>
      </c>
      <c r="L62" s="16" t="s">
        <v>553</v>
      </c>
      <c r="M62" s="16"/>
      <c r="N62" s="16" t="s">
        <v>557</v>
      </c>
      <c r="O62" s="4" t="str">
        <f t="shared" si="2"/>
        <v>Y</v>
      </c>
      <c r="P62" s="4">
        <v>9</v>
      </c>
      <c r="Q62" s="4">
        <v>7</v>
      </c>
      <c r="R62" s="4">
        <v>0</v>
      </c>
      <c r="S62" s="4" t="s">
        <v>413</v>
      </c>
      <c r="T62" s="4" t="s">
        <v>410</v>
      </c>
      <c r="U62" s="4" t="s">
        <v>421</v>
      </c>
      <c r="W62" s="3" t="s">
        <v>141</v>
      </c>
      <c r="X62" s="3" t="s">
        <v>331</v>
      </c>
      <c r="Y62" s="4">
        <f t="shared" si="5"/>
        <v>121</v>
      </c>
    </row>
    <row r="63" spans="2:25" ht="12" customHeight="1" x14ac:dyDescent="0.15">
      <c r="B63" s="4">
        <v>121</v>
      </c>
      <c r="C63" s="14" t="str">
        <f t="shared" si="0"/>
        <v>Federation</v>
      </c>
      <c r="D63" s="3" t="s">
        <v>188</v>
      </c>
      <c r="E63" s="14">
        <f t="shared" si="6"/>
        <v>5</v>
      </c>
      <c r="F63" s="4">
        <v>1</v>
      </c>
      <c r="G63" s="4">
        <v>1</v>
      </c>
      <c r="H63" s="4">
        <f t="shared" si="3"/>
        <v>7</v>
      </c>
      <c r="I63" s="4" t="str">
        <f t="shared" si="7"/>
        <v/>
      </c>
      <c r="J63" s="4" t="s">
        <v>4</v>
      </c>
      <c r="K63" s="4" t="s">
        <v>354</v>
      </c>
      <c r="O63" s="4" t="str">
        <f t="shared" si="2"/>
        <v>Y</v>
      </c>
      <c r="P63" s="4">
        <v>15</v>
      </c>
      <c r="Q63" s="4">
        <v>4</v>
      </c>
      <c r="R63" s="4">
        <v>5</v>
      </c>
      <c r="S63" s="4">
        <v>3</v>
      </c>
      <c r="T63" s="4">
        <v>4</v>
      </c>
      <c r="U63" s="4">
        <v>7</v>
      </c>
      <c r="V63" s="4">
        <v>5</v>
      </c>
      <c r="W63" s="18" t="s">
        <v>459</v>
      </c>
      <c r="X63" s="3" t="s">
        <v>384</v>
      </c>
      <c r="Y63" s="4">
        <f t="shared" si="5"/>
        <v>121</v>
      </c>
    </row>
    <row r="64" spans="2:25" ht="12" customHeight="1" x14ac:dyDescent="0.15">
      <c r="B64" s="4">
        <v>121</v>
      </c>
      <c r="C64" s="14" t="str">
        <f t="shared" si="0"/>
        <v>Federation</v>
      </c>
      <c r="D64" s="3" t="s">
        <v>293</v>
      </c>
      <c r="E64" s="14">
        <f t="shared" si="6"/>
        <v>5</v>
      </c>
      <c r="F64" s="4">
        <v>3</v>
      </c>
      <c r="H64" s="4">
        <f t="shared" si="3"/>
        <v>8</v>
      </c>
      <c r="I64" s="4" t="str">
        <f t="shared" si="7"/>
        <v/>
      </c>
      <c r="J64" s="4" t="s">
        <v>4</v>
      </c>
      <c r="K64" s="16" t="s">
        <v>176</v>
      </c>
      <c r="L64" s="13"/>
      <c r="M64" s="13"/>
      <c r="N64" s="13" t="s">
        <v>545</v>
      </c>
      <c r="O64" s="4" t="str">
        <f t="shared" si="2"/>
        <v/>
      </c>
      <c r="P64" s="4">
        <v>4</v>
      </c>
      <c r="W64" s="3" t="s">
        <v>264</v>
      </c>
      <c r="X64" s="3" t="s">
        <v>152</v>
      </c>
      <c r="Y64" s="4">
        <f t="shared" si="5"/>
        <v>121</v>
      </c>
    </row>
    <row r="65" spans="2:25" ht="12" customHeight="1" x14ac:dyDescent="0.15">
      <c r="B65" s="4">
        <v>122</v>
      </c>
      <c r="C65" s="14" t="str">
        <f t="shared" si="0"/>
        <v>Romulan</v>
      </c>
      <c r="D65" s="3" t="s">
        <v>42</v>
      </c>
      <c r="E65" s="14">
        <f t="shared" si="6"/>
        <v>9</v>
      </c>
      <c r="F65" s="4">
        <v>1</v>
      </c>
      <c r="G65" s="4">
        <v>3</v>
      </c>
      <c r="H65" s="4">
        <f t="shared" si="3"/>
        <v>13</v>
      </c>
      <c r="I65" s="4" t="str">
        <f t="shared" si="7"/>
        <v/>
      </c>
      <c r="J65" s="4" t="s">
        <v>4</v>
      </c>
      <c r="K65" s="4" t="s">
        <v>7</v>
      </c>
      <c r="L65" s="16" t="s">
        <v>553</v>
      </c>
      <c r="N65" s="16" t="s">
        <v>557</v>
      </c>
      <c r="O65" s="4" t="str">
        <f t="shared" si="2"/>
        <v>Y</v>
      </c>
      <c r="P65" s="4">
        <v>9</v>
      </c>
      <c r="Q65" s="4">
        <v>7</v>
      </c>
      <c r="R65" s="4">
        <v>2</v>
      </c>
      <c r="S65" s="4" t="s">
        <v>422</v>
      </c>
      <c r="T65" s="4" t="s">
        <v>412</v>
      </c>
      <c r="U65" s="4" t="s">
        <v>411</v>
      </c>
      <c r="W65" s="3" t="s">
        <v>141</v>
      </c>
      <c r="X65" s="3" t="s">
        <v>209</v>
      </c>
      <c r="Y65" s="4">
        <f t="shared" si="5"/>
        <v>122</v>
      </c>
    </row>
    <row r="66" spans="2:25" ht="12" customHeight="1" x14ac:dyDescent="0.15">
      <c r="B66" s="4">
        <v>122</v>
      </c>
      <c r="C66" s="14" t="str">
        <f t="shared" ref="C66:C129" si="8">VLOOKUP(B66,FLATNUM,5,FALSE)</f>
        <v>Romulan</v>
      </c>
      <c r="D66" s="3" t="s">
        <v>200</v>
      </c>
      <c r="E66" s="14">
        <f t="shared" si="6"/>
        <v>9</v>
      </c>
      <c r="F66" s="4">
        <v>1</v>
      </c>
      <c r="G66" s="4">
        <v>3</v>
      </c>
      <c r="H66" s="4">
        <f t="shared" si="3"/>
        <v>13</v>
      </c>
      <c r="I66" s="4" t="str">
        <f t="shared" si="7"/>
        <v/>
      </c>
      <c r="J66" s="4" t="s">
        <v>4</v>
      </c>
      <c r="K66" s="4" t="s">
        <v>354</v>
      </c>
      <c r="O66" s="4" t="str">
        <f t="shared" ref="O66:O129" si="9">IF(IFERROR(SEARCH("unique",W66),-1)=-1,"","Y")</f>
        <v>Y</v>
      </c>
      <c r="P66" s="4">
        <v>20</v>
      </c>
      <c r="Q66" s="4">
        <v>5</v>
      </c>
      <c r="R66" s="4">
        <v>5</v>
      </c>
      <c r="S66" s="4">
        <v>5</v>
      </c>
      <c r="T66" s="4">
        <v>4</v>
      </c>
      <c r="U66" s="4">
        <v>5</v>
      </c>
      <c r="V66" s="4">
        <v>5</v>
      </c>
      <c r="W66" s="18" t="s">
        <v>477</v>
      </c>
      <c r="X66" s="3" t="s">
        <v>378</v>
      </c>
      <c r="Y66" s="4">
        <f t="shared" si="5"/>
        <v>122</v>
      </c>
    </row>
    <row r="67" spans="2:25" ht="12" customHeight="1" x14ac:dyDescent="0.15">
      <c r="B67" s="4">
        <v>122</v>
      </c>
      <c r="C67" s="14" t="str">
        <f t="shared" si="8"/>
        <v>Romulan</v>
      </c>
      <c r="D67" s="3" t="s">
        <v>351</v>
      </c>
      <c r="E67" s="14">
        <f t="shared" si="6"/>
        <v>9</v>
      </c>
      <c r="F67" s="4">
        <v>5</v>
      </c>
      <c r="H67" s="4">
        <f t="shared" ref="H67:H130" si="10">E67+F67+G67</f>
        <v>14</v>
      </c>
      <c r="I67" s="4" t="str">
        <f t="shared" si="7"/>
        <v/>
      </c>
      <c r="J67" s="4" t="s">
        <v>4</v>
      </c>
      <c r="K67" s="16" t="s">
        <v>176</v>
      </c>
      <c r="L67" s="16"/>
      <c r="M67" s="16"/>
      <c r="N67" s="16" t="s">
        <v>550</v>
      </c>
      <c r="O67" s="4" t="str">
        <f t="shared" si="9"/>
        <v/>
      </c>
      <c r="P67" s="4">
        <v>4</v>
      </c>
      <c r="W67" s="3" t="s">
        <v>205</v>
      </c>
      <c r="X67" s="5" t="s">
        <v>260</v>
      </c>
      <c r="Y67" s="4">
        <f t="shared" ref="Y67:Y130" si="11">B67</f>
        <v>122</v>
      </c>
    </row>
    <row r="68" spans="2:25" ht="12" customHeight="1" x14ac:dyDescent="0.15">
      <c r="B68" s="4">
        <v>123</v>
      </c>
      <c r="C68" s="14" t="str">
        <f t="shared" si="8"/>
        <v>Klingon</v>
      </c>
      <c r="D68" s="3" t="s">
        <v>237</v>
      </c>
      <c r="E68" s="14">
        <f t="shared" si="6"/>
        <v>7</v>
      </c>
      <c r="F68" s="4">
        <v>1</v>
      </c>
      <c r="G68" s="4">
        <v>2</v>
      </c>
      <c r="H68" s="4">
        <f t="shared" si="10"/>
        <v>10</v>
      </c>
      <c r="I68" s="4" t="str">
        <f t="shared" si="7"/>
        <v/>
      </c>
      <c r="J68" s="4" t="s">
        <v>4</v>
      </c>
      <c r="K68" s="4" t="s">
        <v>7</v>
      </c>
      <c r="L68" s="16" t="s">
        <v>553</v>
      </c>
      <c r="M68" s="16"/>
      <c r="N68" s="16" t="s">
        <v>556</v>
      </c>
      <c r="O68" s="4" t="str">
        <f t="shared" si="9"/>
        <v>Y</v>
      </c>
      <c r="P68" s="4">
        <v>8</v>
      </c>
      <c r="Q68" s="4">
        <v>6</v>
      </c>
      <c r="R68" s="4">
        <v>2</v>
      </c>
      <c r="S68" s="4" t="s">
        <v>420</v>
      </c>
      <c r="T68" s="4" t="s">
        <v>418</v>
      </c>
      <c r="U68" s="4" t="s">
        <v>143</v>
      </c>
      <c r="W68" s="3" t="s">
        <v>204</v>
      </c>
      <c r="X68" s="3" t="s">
        <v>338</v>
      </c>
      <c r="Y68" s="4">
        <f t="shared" si="11"/>
        <v>123</v>
      </c>
    </row>
    <row r="69" spans="2:25" ht="12" customHeight="1" x14ac:dyDescent="0.15">
      <c r="B69" s="4">
        <v>123</v>
      </c>
      <c r="C69" s="14" t="str">
        <f t="shared" si="8"/>
        <v>Klingon</v>
      </c>
      <c r="D69" s="3" t="s">
        <v>71</v>
      </c>
      <c r="E69" s="14">
        <f t="shared" si="6"/>
        <v>7</v>
      </c>
      <c r="F69" s="4">
        <v>1</v>
      </c>
      <c r="G69" s="4">
        <v>2</v>
      </c>
      <c r="H69" s="4">
        <f t="shared" si="10"/>
        <v>10</v>
      </c>
      <c r="I69" s="4" t="str">
        <f t="shared" si="7"/>
        <v/>
      </c>
      <c r="J69" s="4" t="s">
        <v>4</v>
      </c>
      <c r="K69" s="4" t="s">
        <v>354</v>
      </c>
      <c r="O69" s="4" t="str">
        <f t="shared" si="9"/>
        <v>Y</v>
      </c>
      <c r="P69" s="4">
        <v>20</v>
      </c>
      <c r="Q69" s="4">
        <v>6</v>
      </c>
      <c r="R69" s="4">
        <v>6</v>
      </c>
      <c r="S69" s="4">
        <v>5</v>
      </c>
      <c r="T69" s="4">
        <v>5</v>
      </c>
      <c r="U69" s="4">
        <v>8</v>
      </c>
      <c r="V69" s="4">
        <v>5</v>
      </c>
      <c r="W69" s="18" t="s">
        <v>470</v>
      </c>
      <c r="X69" s="3" t="s">
        <v>376</v>
      </c>
      <c r="Y69" s="4">
        <f t="shared" si="11"/>
        <v>123</v>
      </c>
    </row>
    <row r="70" spans="2:25" ht="12" customHeight="1" x14ac:dyDescent="0.15">
      <c r="B70" s="4">
        <v>123</v>
      </c>
      <c r="C70" s="14" t="str">
        <f t="shared" si="8"/>
        <v>Klingon</v>
      </c>
      <c r="D70" s="3" t="s">
        <v>13</v>
      </c>
      <c r="E70" s="14">
        <f t="shared" si="6"/>
        <v>7</v>
      </c>
      <c r="F70" s="4">
        <v>4</v>
      </c>
      <c r="H70" s="4">
        <f t="shared" si="10"/>
        <v>11</v>
      </c>
      <c r="I70" s="4" t="str">
        <f t="shared" si="7"/>
        <v/>
      </c>
      <c r="J70" s="4" t="s">
        <v>4</v>
      </c>
      <c r="K70" s="16" t="s">
        <v>176</v>
      </c>
      <c r="L70" s="16"/>
      <c r="M70" s="16"/>
      <c r="N70" s="16" t="s">
        <v>8</v>
      </c>
      <c r="O70" s="4" t="str">
        <f t="shared" si="9"/>
        <v/>
      </c>
      <c r="P70" s="4">
        <v>1</v>
      </c>
      <c r="W70" s="3" t="s">
        <v>154</v>
      </c>
      <c r="X70" s="5" t="s">
        <v>153</v>
      </c>
      <c r="Y70" s="4">
        <f t="shared" si="11"/>
        <v>123</v>
      </c>
    </row>
    <row r="71" spans="2:25" ht="12" customHeight="1" x14ac:dyDescent="0.15">
      <c r="B71" s="4">
        <v>124</v>
      </c>
      <c r="C71" s="14" t="str">
        <f t="shared" si="8"/>
        <v>Cardassian</v>
      </c>
      <c r="D71" s="3" t="s">
        <v>6</v>
      </c>
      <c r="E71" s="14">
        <f t="shared" si="6"/>
        <v>3</v>
      </c>
      <c r="F71" s="4">
        <v>1</v>
      </c>
      <c r="H71" s="4">
        <f t="shared" si="10"/>
        <v>4</v>
      </c>
      <c r="I71" s="4" t="str">
        <f t="shared" si="7"/>
        <v/>
      </c>
      <c r="J71" s="4" t="s">
        <v>4</v>
      </c>
      <c r="K71" s="4" t="s">
        <v>7</v>
      </c>
      <c r="L71" s="16" t="s">
        <v>553</v>
      </c>
      <c r="M71" s="16"/>
      <c r="N71" s="16" t="s">
        <v>555</v>
      </c>
      <c r="O71" s="4" t="str">
        <f t="shared" si="9"/>
        <v>Y</v>
      </c>
      <c r="P71" s="4">
        <v>7</v>
      </c>
      <c r="Q71" s="4">
        <v>5</v>
      </c>
      <c r="R71" s="4">
        <v>2</v>
      </c>
      <c r="S71" s="4" t="s">
        <v>418</v>
      </c>
      <c r="T71" s="4" t="s">
        <v>409</v>
      </c>
      <c r="U71" s="4" t="s">
        <v>143</v>
      </c>
      <c r="W71" s="3" t="s">
        <v>172</v>
      </c>
      <c r="X71" s="3" t="s">
        <v>383</v>
      </c>
      <c r="Y71" s="4">
        <f t="shared" si="11"/>
        <v>124</v>
      </c>
    </row>
    <row r="72" spans="2:25" ht="12" customHeight="1" x14ac:dyDescent="0.15">
      <c r="B72" s="4">
        <v>124</v>
      </c>
      <c r="C72" s="14" t="str">
        <f t="shared" si="8"/>
        <v>Cardassian</v>
      </c>
      <c r="D72" s="3" t="s">
        <v>2</v>
      </c>
      <c r="E72" s="14">
        <f t="shared" si="6"/>
        <v>3</v>
      </c>
      <c r="F72" s="4">
        <v>1</v>
      </c>
      <c r="G72" s="4">
        <v>1</v>
      </c>
      <c r="H72" s="4">
        <f t="shared" si="10"/>
        <v>5</v>
      </c>
      <c r="I72" s="4" t="str">
        <f t="shared" si="7"/>
        <v/>
      </c>
      <c r="J72" s="4" t="s">
        <v>4</v>
      </c>
      <c r="K72" s="4" t="s">
        <v>354</v>
      </c>
      <c r="O72" s="4" t="str">
        <f t="shared" si="9"/>
        <v>Y</v>
      </c>
      <c r="P72" s="4">
        <v>15</v>
      </c>
      <c r="Q72" s="4">
        <v>5</v>
      </c>
      <c r="R72" s="4">
        <v>4</v>
      </c>
      <c r="S72" s="4">
        <v>5</v>
      </c>
      <c r="T72" s="4">
        <v>4</v>
      </c>
      <c r="U72" s="4">
        <v>4</v>
      </c>
      <c r="V72" s="4">
        <v>5</v>
      </c>
      <c r="W72" s="18" t="s">
        <v>453</v>
      </c>
      <c r="X72" s="3" t="s">
        <v>147</v>
      </c>
      <c r="Y72" s="4">
        <f t="shared" si="11"/>
        <v>124</v>
      </c>
    </row>
    <row r="73" spans="2:25" ht="12" customHeight="1" x14ac:dyDescent="0.15">
      <c r="B73" s="4">
        <v>124</v>
      </c>
      <c r="C73" s="14" t="str">
        <f t="shared" si="8"/>
        <v>Cardassian</v>
      </c>
      <c r="D73" s="3" t="s">
        <v>5</v>
      </c>
      <c r="E73" s="14">
        <f t="shared" si="6"/>
        <v>3</v>
      </c>
      <c r="F73" s="4">
        <v>2</v>
      </c>
      <c r="H73" s="4">
        <f t="shared" si="10"/>
        <v>5</v>
      </c>
      <c r="I73" s="4" t="str">
        <f t="shared" si="7"/>
        <v/>
      </c>
      <c r="J73" s="4" t="s">
        <v>4</v>
      </c>
      <c r="K73" s="16" t="s">
        <v>176</v>
      </c>
      <c r="L73" s="16"/>
      <c r="M73" s="16"/>
      <c r="N73" s="16" t="s">
        <v>545</v>
      </c>
      <c r="O73" s="4" t="str">
        <f t="shared" si="9"/>
        <v/>
      </c>
      <c r="P73" s="4">
        <v>1</v>
      </c>
      <c r="W73" s="3" t="s">
        <v>264</v>
      </c>
      <c r="X73" s="3" t="s">
        <v>157</v>
      </c>
      <c r="Y73" s="4">
        <f t="shared" si="11"/>
        <v>124</v>
      </c>
    </row>
    <row r="74" spans="2:25" ht="12" customHeight="1" x14ac:dyDescent="0.15">
      <c r="B74" s="4">
        <v>125</v>
      </c>
      <c r="C74" s="14" t="str">
        <f t="shared" si="8"/>
        <v>Romulan</v>
      </c>
      <c r="D74" s="3" t="s">
        <v>198</v>
      </c>
      <c r="E74" s="14">
        <f t="shared" si="6"/>
        <v>15</v>
      </c>
      <c r="F74" s="4">
        <v>1</v>
      </c>
      <c r="G74" s="4">
        <v>1</v>
      </c>
      <c r="H74" s="4">
        <f t="shared" si="10"/>
        <v>17</v>
      </c>
      <c r="I74" s="4" t="str">
        <f t="shared" si="7"/>
        <v/>
      </c>
      <c r="J74" s="4" t="s">
        <v>4</v>
      </c>
      <c r="K74" s="4" t="s">
        <v>356</v>
      </c>
      <c r="O74" s="4" t="str">
        <f t="shared" si="9"/>
        <v>Y</v>
      </c>
      <c r="P74" s="4">
        <v>28</v>
      </c>
      <c r="Q74" s="4">
        <v>7</v>
      </c>
      <c r="R74" s="4">
        <v>7</v>
      </c>
      <c r="S74" s="4">
        <v>7</v>
      </c>
      <c r="T74" s="4">
        <v>6</v>
      </c>
      <c r="U74" s="4">
        <v>10</v>
      </c>
      <c r="V74" s="4">
        <v>4</v>
      </c>
      <c r="W74" s="18" t="s">
        <v>474</v>
      </c>
      <c r="X74" s="5" t="s">
        <v>149</v>
      </c>
      <c r="Y74" s="4">
        <f t="shared" si="11"/>
        <v>125</v>
      </c>
    </row>
    <row r="75" spans="2:25" ht="12" customHeight="1" x14ac:dyDescent="0.15">
      <c r="B75" s="4">
        <v>126</v>
      </c>
      <c r="C75" s="14" t="str">
        <f t="shared" si="8"/>
        <v>Cardassian</v>
      </c>
      <c r="D75" s="3" t="s">
        <v>112</v>
      </c>
      <c r="E75" s="14">
        <f t="shared" si="6"/>
        <v>5</v>
      </c>
      <c r="F75" s="4">
        <v>1</v>
      </c>
      <c r="H75" s="4">
        <f t="shared" si="10"/>
        <v>6</v>
      </c>
      <c r="I75" s="4" t="str">
        <f t="shared" si="7"/>
        <v/>
      </c>
      <c r="J75" s="4" t="s">
        <v>4</v>
      </c>
      <c r="K75" s="4" t="s">
        <v>356</v>
      </c>
      <c r="O75" s="4" t="str">
        <f t="shared" si="9"/>
        <v>Y</v>
      </c>
      <c r="P75" s="4">
        <v>23</v>
      </c>
      <c r="Q75" s="4">
        <v>7</v>
      </c>
      <c r="R75" s="4">
        <v>6</v>
      </c>
      <c r="S75" s="4">
        <v>7</v>
      </c>
      <c r="T75" s="4">
        <v>6</v>
      </c>
      <c r="U75" s="4">
        <v>9</v>
      </c>
      <c r="V75" s="4">
        <v>4</v>
      </c>
      <c r="W75" s="18" t="s">
        <v>450</v>
      </c>
      <c r="X75" s="5" t="s">
        <v>149</v>
      </c>
      <c r="Y75" s="4">
        <f t="shared" si="11"/>
        <v>126</v>
      </c>
    </row>
    <row r="76" spans="2:25" ht="12" customHeight="1" x14ac:dyDescent="0.15">
      <c r="B76" s="4">
        <v>127</v>
      </c>
      <c r="C76" s="14" t="str">
        <f t="shared" si="8"/>
        <v>Cardassian</v>
      </c>
      <c r="D76" s="3" t="s">
        <v>345</v>
      </c>
      <c r="E76" s="14">
        <f t="shared" si="6"/>
        <v>4</v>
      </c>
      <c r="F76" s="4">
        <v>5</v>
      </c>
      <c r="H76" s="4">
        <f t="shared" si="10"/>
        <v>9</v>
      </c>
      <c r="I76" s="4" t="str">
        <f t="shared" si="7"/>
        <v/>
      </c>
      <c r="J76" s="4" t="s">
        <v>4</v>
      </c>
      <c r="K76" s="4" t="s">
        <v>7</v>
      </c>
      <c r="N76" s="16" t="s">
        <v>179</v>
      </c>
      <c r="O76" s="4" t="str">
        <f t="shared" si="9"/>
        <v/>
      </c>
      <c r="P76" s="4">
        <v>1</v>
      </c>
      <c r="Q76" s="4">
        <v>1</v>
      </c>
      <c r="R76" s="4">
        <v>1</v>
      </c>
      <c r="S76" s="4" t="s">
        <v>143</v>
      </c>
      <c r="T76" s="4" t="s">
        <v>143</v>
      </c>
      <c r="U76" s="4" t="s">
        <v>143</v>
      </c>
      <c r="W76" s="3" t="s">
        <v>179</v>
      </c>
      <c r="X76" s="3" t="s">
        <v>214</v>
      </c>
      <c r="Y76" s="4">
        <f t="shared" si="11"/>
        <v>127</v>
      </c>
    </row>
    <row r="77" spans="2:25" ht="12" customHeight="1" x14ac:dyDescent="0.15">
      <c r="B77" s="4">
        <v>127</v>
      </c>
      <c r="C77" s="14" t="str">
        <f t="shared" si="8"/>
        <v>Cardassian</v>
      </c>
      <c r="D77" s="3" t="s">
        <v>395</v>
      </c>
      <c r="E77" s="14">
        <f t="shared" si="6"/>
        <v>4</v>
      </c>
      <c r="F77" s="4">
        <v>1</v>
      </c>
      <c r="H77" s="4">
        <f t="shared" si="10"/>
        <v>5</v>
      </c>
      <c r="I77" s="4" t="str">
        <f t="shared" si="7"/>
        <v/>
      </c>
      <c r="J77" s="4" t="s">
        <v>4</v>
      </c>
      <c r="K77" s="4" t="s">
        <v>7</v>
      </c>
      <c r="L77" s="16" t="s">
        <v>21</v>
      </c>
      <c r="M77" s="16"/>
      <c r="O77" s="4" t="str">
        <f t="shared" si="9"/>
        <v>Y</v>
      </c>
      <c r="P77" s="4">
        <v>2</v>
      </c>
      <c r="Q77" s="4">
        <v>2</v>
      </c>
      <c r="R77" s="4">
        <v>3</v>
      </c>
      <c r="S77" s="4" t="s">
        <v>143</v>
      </c>
      <c r="T77" s="4" t="s">
        <v>143</v>
      </c>
      <c r="U77" s="4" t="s">
        <v>143</v>
      </c>
      <c r="W77" s="3" t="s">
        <v>269</v>
      </c>
      <c r="X77" s="3" t="s">
        <v>358</v>
      </c>
      <c r="Y77" s="4">
        <f t="shared" si="11"/>
        <v>127</v>
      </c>
    </row>
    <row r="78" spans="2:25" ht="12" customHeight="1" x14ac:dyDescent="0.15">
      <c r="B78" s="4">
        <v>127</v>
      </c>
      <c r="C78" s="14" t="str">
        <f t="shared" si="8"/>
        <v>Cardassian</v>
      </c>
      <c r="D78" s="3" t="s">
        <v>394</v>
      </c>
      <c r="E78" s="14">
        <f t="shared" si="6"/>
        <v>4</v>
      </c>
      <c r="F78" s="4">
        <v>1</v>
      </c>
      <c r="H78" s="4">
        <f t="shared" si="10"/>
        <v>5</v>
      </c>
      <c r="I78" s="4" t="str">
        <f t="shared" si="7"/>
        <v/>
      </c>
      <c r="J78" s="4" t="s">
        <v>4</v>
      </c>
      <c r="K78" s="4" t="s">
        <v>7</v>
      </c>
      <c r="L78" s="16" t="s">
        <v>553</v>
      </c>
      <c r="M78" s="16"/>
      <c r="N78" s="16" t="s">
        <v>171</v>
      </c>
      <c r="O78" s="4" t="str">
        <f t="shared" si="9"/>
        <v>Y</v>
      </c>
      <c r="P78" s="4">
        <v>6</v>
      </c>
      <c r="Q78" s="4">
        <v>4</v>
      </c>
      <c r="R78" s="4">
        <v>3</v>
      </c>
      <c r="S78" s="4" t="s">
        <v>421</v>
      </c>
      <c r="T78" s="4" t="s">
        <v>409</v>
      </c>
      <c r="U78" s="4" t="s">
        <v>414</v>
      </c>
      <c r="W78" s="3" t="s">
        <v>328</v>
      </c>
      <c r="X78" s="3" t="s">
        <v>291</v>
      </c>
      <c r="Y78" s="4">
        <f t="shared" si="11"/>
        <v>127</v>
      </c>
    </row>
    <row r="79" spans="2:25" ht="12" customHeight="1" x14ac:dyDescent="0.15">
      <c r="B79" s="4">
        <v>127</v>
      </c>
      <c r="C79" s="14" t="str">
        <f t="shared" si="8"/>
        <v>Cardassian</v>
      </c>
      <c r="D79" s="3" t="s">
        <v>146</v>
      </c>
      <c r="E79" s="14">
        <f t="shared" si="6"/>
        <v>4</v>
      </c>
      <c r="F79" s="4">
        <v>1</v>
      </c>
      <c r="H79" s="4">
        <f t="shared" si="10"/>
        <v>5</v>
      </c>
      <c r="I79" s="4" t="str">
        <f t="shared" si="7"/>
        <v/>
      </c>
      <c r="J79" s="4" t="s">
        <v>4</v>
      </c>
      <c r="K79" s="4" t="s">
        <v>355</v>
      </c>
      <c r="O79" s="4" t="str">
        <f t="shared" si="9"/>
        <v>Y</v>
      </c>
      <c r="P79" s="4">
        <v>11</v>
      </c>
      <c r="Q79" s="4">
        <v>4</v>
      </c>
      <c r="R79" s="4">
        <v>3</v>
      </c>
      <c r="S79" s="4">
        <v>3</v>
      </c>
      <c r="T79" s="4">
        <v>3</v>
      </c>
      <c r="U79" s="4">
        <v>3</v>
      </c>
      <c r="V79" s="4">
        <v>6</v>
      </c>
      <c r="W79" s="18" t="s">
        <v>451</v>
      </c>
      <c r="X79" s="3" t="s">
        <v>148</v>
      </c>
      <c r="Y79" s="4">
        <f t="shared" si="11"/>
        <v>127</v>
      </c>
    </row>
    <row r="80" spans="2:25" ht="12" customHeight="1" x14ac:dyDescent="0.15">
      <c r="B80" s="4">
        <v>128</v>
      </c>
      <c r="C80" s="14" t="str">
        <f t="shared" si="8"/>
        <v>Klingon</v>
      </c>
      <c r="D80" s="3" t="s">
        <v>108</v>
      </c>
      <c r="E80" s="14">
        <f t="shared" si="6"/>
        <v>9</v>
      </c>
      <c r="F80" s="4">
        <v>1</v>
      </c>
      <c r="H80" s="4">
        <f t="shared" si="10"/>
        <v>10</v>
      </c>
      <c r="I80" s="4" t="str">
        <f t="shared" si="7"/>
        <v/>
      </c>
      <c r="J80" s="4" t="s">
        <v>4</v>
      </c>
      <c r="K80" s="4" t="s">
        <v>7</v>
      </c>
      <c r="N80" s="16" t="s">
        <v>179</v>
      </c>
      <c r="O80" s="4" t="str">
        <f t="shared" si="9"/>
        <v>Y</v>
      </c>
      <c r="P80" s="4">
        <v>1</v>
      </c>
      <c r="Q80" s="4">
        <v>2</v>
      </c>
      <c r="R80" s="4">
        <v>1</v>
      </c>
      <c r="S80" s="4" t="s">
        <v>143</v>
      </c>
      <c r="T80" s="4" t="s">
        <v>143</v>
      </c>
      <c r="U80" s="4" t="s">
        <v>143</v>
      </c>
      <c r="W80" s="3" t="s">
        <v>164</v>
      </c>
      <c r="X80" s="3" t="s">
        <v>218</v>
      </c>
      <c r="Y80" s="4">
        <f t="shared" si="11"/>
        <v>128</v>
      </c>
    </row>
    <row r="81" spans="2:25" ht="12" customHeight="1" x14ac:dyDescent="0.15">
      <c r="B81" s="4">
        <v>128</v>
      </c>
      <c r="C81" s="14" t="str">
        <f t="shared" si="8"/>
        <v>Klingon</v>
      </c>
      <c r="D81" s="3" t="s">
        <v>109</v>
      </c>
      <c r="E81" s="14">
        <f t="shared" si="6"/>
        <v>9</v>
      </c>
      <c r="F81" s="4">
        <v>1</v>
      </c>
      <c r="H81" s="4">
        <f t="shared" si="10"/>
        <v>10</v>
      </c>
      <c r="I81" s="4" t="str">
        <f t="shared" si="7"/>
        <v/>
      </c>
      <c r="J81" s="4" t="s">
        <v>4</v>
      </c>
      <c r="K81" s="4" t="s">
        <v>7</v>
      </c>
      <c r="L81" s="16" t="s">
        <v>553</v>
      </c>
      <c r="M81" s="16"/>
      <c r="N81" s="16" t="s">
        <v>559</v>
      </c>
      <c r="O81" s="4" t="str">
        <f t="shared" si="9"/>
        <v>Y</v>
      </c>
      <c r="P81" s="4">
        <v>3</v>
      </c>
      <c r="Q81" s="4">
        <v>2</v>
      </c>
      <c r="R81" s="4">
        <v>2</v>
      </c>
      <c r="S81" s="4" t="s">
        <v>421</v>
      </c>
      <c r="T81" s="4" t="s">
        <v>143</v>
      </c>
      <c r="U81" s="4" t="s">
        <v>143</v>
      </c>
      <c r="W81" s="3" t="s">
        <v>330</v>
      </c>
      <c r="X81" s="3" t="s">
        <v>290</v>
      </c>
      <c r="Y81" s="4">
        <f t="shared" si="11"/>
        <v>128</v>
      </c>
    </row>
    <row r="82" spans="2:25" ht="12" customHeight="1" x14ac:dyDescent="0.15">
      <c r="B82" s="4">
        <v>128</v>
      </c>
      <c r="C82" s="14" t="str">
        <f t="shared" si="8"/>
        <v>Klingon</v>
      </c>
      <c r="D82" s="3" t="s">
        <v>111</v>
      </c>
      <c r="E82" s="14">
        <f t="shared" si="6"/>
        <v>9</v>
      </c>
      <c r="F82" s="4">
        <v>1</v>
      </c>
      <c r="H82" s="4">
        <f t="shared" si="10"/>
        <v>10</v>
      </c>
      <c r="I82" s="4" t="str">
        <f t="shared" si="7"/>
        <v/>
      </c>
      <c r="J82" s="4" t="s">
        <v>4</v>
      </c>
      <c r="K82" s="4" t="s">
        <v>7</v>
      </c>
      <c r="L82" s="16" t="s">
        <v>137</v>
      </c>
      <c r="M82" s="16"/>
      <c r="N82" s="16" t="s">
        <v>171</v>
      </c>
      <c r="O82" s="4" t="str">
        <f t="shared" si="9"/>
        <v>Y</v>
      </c>
      <c r="P82" s="4">
        <v>6</v>
      </c>
      <c r="Q82" s="4">
        <v>4</v>
      </c>
      <c r="R82" s="4">
        <v>3</v>
      </c>
      <c r="S82" s="4" t="s">
        <v>421</v>
      </c>
      <c r="T82" s="4" t="s">
        <v>411</v>
      </c>
      <c r="U82" s="4" t="s">
        <v>414</v>
      </c>
      <c r="W82" s="3" t="s">
        <v>292</v>
      </c>
      <c r="X82" s="3" t="s">
        <v>291</v>
      </c>
      <c r="Y82" s="4">
        <f t="shared" si="11"/>
        <v>128</v>
      </c>
    </row>
    <row r="83" spans="2:25" ht="12" customHeight="1" x14ac:dyDescent="0.15">
      <c r="B83" s="4">
        <v>128</v>
      </c>
      <c r="C83" s="14" t="str">
        <f t="shared" si="8"/>
        <v>Klingon</v>
      </c>
      <c r="D83" s="3" t="s">
        <v>110</v>
      </c>
      <c r="E83" s="14">
        <f t="shared" si="6"/>
        <v>9</v>
      </c>
      <c r="F83" s="4">
        <v>1</v>
      </c>
      <c r="H83" s="4">
        <f t="shared" si="10"/>
        <v>10</v>
      </c>
      <c r="I83" s="4" t="str">
        <f t="shared" si="7"/>
        <v/>
      </c>
      <c r="J83" s="4" t="s">
        <v>4</v>
      </c>
      <c r="K83" s="4" t="s">
        <v>355</v>
      </c>
      <c r="O83" s="4" t="str">
        <f t="shared" si="9"/>
        <v>Y</v>
      </c>
      <c r="P83" s="4">
        <v>12</v>
      </c>
      <c r="Q83" s="4">
        <v>5</v>
      </c>
      <c r="R83" s="4">
        <v>3</v>
      </c>
      <c r="S83" s="4">
        <v>3</v>
      </c>
      <c r="T83" s="4">
        <v>3</v>
      </c>
      <c r="U83" s="4">
        <v>3</v>
      </c>
      <c r="V83" s="4">
        <v>6</v>
      </c>
      <c r="W83" s="18" t="s">
        <v>468</v>
      </c>
      <c r="X83" s="3" t="s">
        <v>380</v>
      </c>
      <c r="Y83" s="4">
        <f t="shared" si="11"/>
        <v>128</v>
      </c>
    </row>
    <row r="84" spans="2:25" x14ac:dyDescent="0.15">
      <c r="B84" s="4">
        <v>129</v>
      </c>
      <c r="C84" s="14" t="str">
        <f t="shared" si="8"/>
        <v>Other</v>
      </c>
      <c r="D84" s="18" t="s">
        <v>567</v>
      </c>
      <c r="E84" s="14">
        <f t="shared" si="6"/>
        <v>11</v>
      </c>
      <c r="F84" s="4">
        <v>1</v>
      </c>
      <c r="H84" s="4">
        <f t="shared" si="10"/>
        <v>12</v>
      </c>
      <c r="I84" s="4" t="str">
        <f t="shared" si="7"/>
        <v/>
      </c>
      <c r="J84" s="4" t="s">
        <v>4</v>
      </c>
      <c r="K84" s="16" t="s">
        <v>22</v>
      </c>
      <c r="L84" s="16"/>
      <c r="M84" s="16"/>
      <c r="N84" s="16"/>
      <c r="O84" s="4" t="str">
        <f t="shared" si="9"/>
        <v/>
      </c>
      <c r="P84" s="4" t="s">
        <v>401</v>
      </c>
      <c r="W84" s="18" t="s">
        <v>401</v>
      </c>
      <c r="X84" s="18" t="s">
        <v>446</v>
      </c>
      <c r="Y84" s="4">
        <f t="shared" si="11"/>
        <v>129</v>
      </c>
    </row>
    <row r="85" spans="2:25" x14ac:dyDescent="0.15">
      <c r="B85" s="4">
        <v>130</v>
      </c>
      <c r="C85" s="14" t="str">
        <f t="shared" si="8"/>
        <v>Romulan</v>
      </c>
      <c r="D85" s="18" t="s">
        <v>482</v>
      </c>
      <c r="E85" s="14">
        <f t="shared" si="6"/>
        <v>14</v>
      </c>
      <c r="F85" s="4">
        <v>1</v>
      </c>
      <c r="H85" s="4">
        <f t="shared" si="10"/>
        <v>15</v>
      </c>
      <c r="I85" s="4" t="str">
        <f t="shared" si="7"/>
        <v/>
      </c>
      <c r="J85" s="4" t="s">
        <v>4</v>
      </c>
      <c r="K85" s="16" t="s">
        <v>22</v>
      </c>
      <c r="L85" s="16"/>
      <c r="M85" s="16"/>
      <c r="N85" s="16"/>
      <c r="O85" s="4" t="str">
        <f t="shared" si="9"/>
        <v/>
      </c>
      <c r="P85" s="4" t="s">
        <v>401</v>
      </c>
      <c r="W85" s="18" t="s">
        <v>401</v>
      </c>
      <c r="Y85" s="4">
        <f t="shared" si="11"/>
        <v>130</v>
      </c>
    </row>
    <row r="86" spans="2:25" x14ac:dyDescent="0.15">
      <c r="B86" s="4">
        <v>131</v>
      </c>
      <c r="C86" s="14" t="str">
        <f t="shared" si="8"/>
        <v>Other</v>
      </c>
      <c r="D86" s="18" t="s">
        <v>495</v>
      </c>
      <c r="E86" s="14">
        <f t="shared" si="6"/>
        <v>9</v>
      </c>
      <c r="F86" s="4">
        <v>1</v>
      </c>
      <c r="H86" s="4">
        <f t="shared" si="10"/>
        <v>10</v>
      </c>
      <c r="I86" s="4" t="str">
        <f t="shared" si="7"/>
        <v/>
      </c>
      <c r="J86" s="4" t="s">
        <v>4</v>
      </c>
      <c r="K86" s="16" t="s">
        <v>22</v>
      </c>
      <c r="L86" s="16"/>
      <c r="M86" s="16"/>
      <c r="N86" s="16"/>
      <c r="O86" s="4" t="str">
        <f t="shared" si="9"/>
        <v/>
      </c>
      <c r="P86" s="4" t="s">
        <v>401</v>
      </c>
      <c r="Q86" s="4">
        <v>0</v>
      </c>
      <c r="R86" s="4">
        <v>10</v>
      </c>
      <c r="S86" s="4">
        <v>5</v>
      </c>
      <c r="T86" s="4">
        <v>0</v>
      </c>
      <c r="U86" s="4">
        <v>0</v>
      </c>
      <c r="V86" s="4">
        <v>1</v>
      </c>
      <c r="W86" s="18" t="s">
        <v>401</v>
      </c>
      <c r="Y86" s="4">
        <f t="shared" si="11"/>
        <v>131</v>
      </c>
    </row>
    <row r="87" spans="2:25" x14ac:dyDescent="0.15">
      <c r="B87" s="4">
        <v>132</v>
      </c>
      <c r="C87" s="14" t="str">
        <f t="shared" si="8"/>
        <v>Cardassian</v>
      </c>
      <c r="D87" s="18" t="s">
        <v>497</v>
      </c>
      <c r="E87" s="14">
        <f t="shared" si="6"/>
        <v>14</v>
      </c>
      <c r="F87" s="4">
        <v>1</v>
      </c>
      <c r="H87" s="4">
        <f t="shared" si="10"/>
        <v>15</v>
      </c>
      <c r="I87" s="4" t="str">
        <f t="shared" si="7"/>
        <v/>
      </c>
      <c r="J87" s="4" t="s">
        <v>4</v>
      </c>
      <c r="K87" s="16" t="s">
        <v>22</v>
      </c>
      <c r="L87" s="16"/>
      <c r="M87" s="16"/>
      <c r="N87" s="16"/>
      <c r="O87" s="4" t="str">
        <f t="shared" si="9"/>
        <v/>
      </c>
      <c r="P87" s="4" t="s">
        <v>401</v>
      </c>
      <c r="W87" s="18" t="s">
        <v>401</v>
      </c>
      <c r="Y87" s="4">
        <f t="shared" si="11"/>
        <v>132</v>
      </c>
    </row>
    <row r="88" spans="2:25" ht="12" customHeight="1" x14ac:dyDescent="0.15">
      <c r="B88" s="4">
        <v>133</v>
      </c>
      <c r="C88" s="14" t="str">
        <f t="shared" si="8"/>
        <v>Federation</v>
      </c>
      <c r="D88" s="3" t="s">
        <v>88</v>
      </c>
      <c r="E88" s="14">
        <f t="shared" si="6"/>
        <v>7</v>
      </c>
      <c r="F88" s="4">
        <v>1</v>
      </c>
      <c r="G88" s="4">
        <v>1</v>
      </c>
      <c r="H88" s="4">
        <f t="shared" si="10"/>
        <v>9</v>
      </c>
      <c r="I88" s="4" t="str">
        <f t="shared" si="7"/>
        <v/>
      </c>
      <c r="J88" s="4" t="s">
        <v>4</v>
      </c>
      <c r="K88" s="4" t="s">
        <v>7</v>
      </c>
      <c r="N88" s="16" t="s">
        <v>554</v>
      </c>
      <c r="O88" s="4" t="str">
        <f t="shared" si="9"/>
        <v>Y</v>
      </c>
      <c r="P88" s="4">
        <v>2</v>
      </c>
      <c r="Q88" s="4">
        <v>3</v>
      </c>
      <c r="R88" s="4">
        <v>0</v>
      </c>
      <c r="S88" s="4" t="s">
        <v>143</v>
      </c>
      <c r="T88" s="4" t="s">
        <v>143</v>
      </c>
      <c r="U88" s="4" t="s">
        <v>143</v>
      </c>
      <c r="W88" s="3" t="s">
        <v>219</v>
      </c>
      <c r="X88" s="3" t="s">
        <v>320</v>
      </c>
      <c r="Y88" s="4">
        <f t="shared" si="11"/>
        <v>133</v>
      </c>
    </row>
    <row r="89" spans="2:25" ht="12" customHeight="1" x14ac:dyDescent="0.15">
      <c r="B89" s="4">
        <v>133</v>
      </c>
      <c r="C89" s="14" t="str">
        <f t="shared" si="8"/>
        <v>Federation</v>
      </c>
      <c r="D89" s="3" t="s">
        <v>86</v>
      </c>
      <c r="E89" s="14">
        <f t="shared" si="6"/>
        <v>7</v>
      </c>
      <c r="F89" s="4">
        <v>3</v>
      </c>
      <c r="H89" s="4">
        <f t="shared" si="10"/>
        <v>10</v>
      </c>
      <c r="I89" s="4" t="str">
        <f t="shared" si="7"/>
        <v/>
      </c>
      <c r="J89" s="4" t="s">
        <v>4</v>
      </c>
      <c r="K89" s="4" t="s">
        <v>7</v>
      </c>
      <c r="L89" s="16" t="s">
        <v>553</v>
      </c>
      <c r="M89" s="16"/>
      <c r="N89" s="16" t="s">
        <v>86</v>
      </c>
      <c r="O89" s="4" t="str">
        <f t="shared" si="9"/>
        <v/>
      </c>
      <c r="P89" s="4">
        <v>3</v>
      </c>
      <c r="Q89" s="4">
        <v>3</v>
      </c>
      <c r="R89" s="4">
        <v>1</v>
      </c>
      <c r="S89" s="4" t="s">
        <v>409</v>
      </c>
      <c r="T89" s="4" t="s">
        <v>411</v>
      </c>
      <c r="U89" s="4" t="s">
        <v>143</v>
      </c>
      <c r="W89" s="3" t="s">
        <v>283</v>
      </c>
      <c r="X89" s="3" t="s">
        <v>332</v>
      </c>
      <c r="Y89" s="4">
        <f t="shared" si="11"/>
        <v>133</v>
      </c>
    </row>
    <row r="90" spans="2:25" ht="12" customHeight="1" x14ac:dyDescent="0.15">
      <c r="B90" s="4">
        <v>133</v>
      </c>
      <c r="C90" s="14" t="str">
        <f t="shared" si="8"/>
        <v>Federation</v>
      </c>
      <c r="D90" s="3" t="s">
        <v>87</v>
      </c>
      <c r="E90" s="14">
        <f t="shared" ref="E90:E153" si="12">VLOOKUP(B90,FLATNUM,6,FALSE)</f>
        <v>7</v>
      </c>
      <c r="F90" s="4">
        <v>3</v>
      </c>
      <c r="H90" s="4">
        <f t="shared" si="10"/>
        <v>10</v>
      </c>
      <c r="I90" s="4" t="str">
        <f t="shared" si="7"/>
        <v/>
      </c>
      <c r="J90" s="4" t="s">
        <v>4</v>
      </c>
      <c r="K90" s="16" t="s">
        <v>257</v>
      </c>
      <c r="L90" s="16"/>
      <c r="M90" s="16"/>
      <c r="N90" s="16"/>
      <c r="O90" s="4" t="str">
        <f t="shared" si="9"/>
        <v/>
      </c>
      <c r="P90" s="4">
        <v>2</v>
      </c>
      <c r="W90" s="3" t="s">
        <v>257</v>
      </c>
      <c r="X90" s="3" t="s">
        <v>333</v>
      </c>
      <c r="Y90" s="4">
        <f t="shared" si="11"/>
        <v>133</v>
      </c>
    </row>
    <row r="91" spans="2:25" ht="12" customHeight="1" x14ac:dyDescent="0.15">
      <c r="B91" s="4">
        <v>133</v>
      </c>
      <c r="C91" s="14" t="str">
        <f t="shared" si="8"/>
        <v>Federation</v>
      </c>
      <c r="D91" s="3" t="s">
        <v>85</v>
      </c>
      <c r="E91" s="14">
        <f t="shared" si="12"/>
        <v>7</v>
      </c>
      <c r="F91" s="4">
        <v>3</v>
      </c>
      <c r="H91" s="4">
        <f t="shared" si="10"/>
        <v>10</v>
      </c>
      <c r="I91" s="4" t="str">
        <f t="shared" ref="I91:I154" si="13">IF(AND(O91&lt;&gt;"Y",K91&lt;&gt;"Scenario"),"",IF(F91&lt;2,"",F91-1))</f>
        <v/>
      </c>
      <c r="J91" s="4" t="s">
        <v>4</v>
      </c>
      <c r="K91" s="16" t="s">
        <v>176</v>
      </c>
      <c r="L91" s="16"/>
      <c r="M91" s="16"/>
      <c r="N91" s="16" t="s">
        <v>547</v>
      </c>
      <c r="O91" s="4" t="str">
        <f t="shared" si="9"/>
        <v/>
      </c>
      <c r="P91" s="4">
        <v>2</v>
      </c>
      <c r="W91" s="3" t="s">
        <v>298</v>
      </c>
      <c r="X91" s="3" t="s">
        <v>297</v>
      </c>
      <c r="Y91" s="4">
        <f t="shared" si="11"/>
        <v>133</v>
      </c>
    </row>
    <row r="92" spans="2:25" ht="12" customHeight="1" x14ac:dyDescent="0.15">
      <c r="B92" s="4">
        <v>134</v>
      </c>
      <c r="C92" s="14" t="str">
        <f t="shared" si="8"/>
        <v>Romulan</v>
      </c>
      <c r="D92" s="3" t="s">
        <v>48</v>
      </c>
      <c r="E92" s="14">
        <f t="shared" si="12"/>
        <v>4</v>
      </c>
      <c r="F92" s="4">
        <v>1</v>
      </c>
      <c r="G92" s="4">
        <v>2</v>
      </c>
      <c r="H92" s="4">
        <f t="shared" si="10"/>
        <v>7</v>
      </c>
      <c r="I92" s="4" t="str">
        <f t="shared" si="13"/>
        <v/>
      </c>
      <c r="J92" s="4" t="s">
        <v>4</v>
      </c>
      <c r="K92" s="4" t="s">
        <v>7</v>
      </c>
      <c r="L92" s="16" t="s">
        <v>560</v>
      </c>
      <c r="M92" s="16"/>
      <c r="N92" s="16" t="s">
        <v>82</v>
      </c>
      <c r="O92" s="4" t="str">
        <f t="shared" si="9"/>
        <v>Y</v>
      </c>
      <c r="P92" s="4">
        <v>3</v>
      </c>
      <c r="Q92" s="4">
        <v>2</v>
      </c>
      <c r="R92" s="4">
        <v>1</v>
      </c>
      <c r="S92" s="4" t="s">
        <v>143</v>
      </c>
      <c r="T92" s="4" t="s">
        <v>143</v>
      </c>
      <c r="U92" s="4" t="s">
        <v>143</v>
      </c>
      <c r="W92" s="3" t="s">
        <v>169</v>
      </c>
      <c r="X92" s="3" t="s">
        <v>206</v>
      </c>
      <c r="Y92" s="4">
        <f t="shared" si="11"/>
        <v>134</v>
      </c>
    </row>
    <row r="93" spans="2:25" ht="12" customHeight="1" x14ac:dyDescent="0.15">
      <c r="B93" s="4">
        <v>134</v>
      </c>
      <c r="C93" s="14" t="str">
        <f t="shared" si="8"/>
        <v>Romulan</v>
      </c>
      <c r="D93" s="3" t="s">
        <v>50</v>
      </c>
      <c r="E93" s="14">
        <f t="shared" si="12"/>
        <v>4</v>
      </c>
      <c r="F93" s="4">
        <v>3</v>
      </c>
      <c r="H93" s="4">
        <f t="shared" si="10"/>
        <v>7</v>
      </c>
      <c r="I93" s="4" t="str">
        <f t="shared" si="13"/>
        <v/>
      </c>
      <c r="J93" s="4" t="s">
        <v>4</v>
      </c>
      <c r="K93" s="4" t="s">
        <v>7</v>
      </c>
      <c r="N93" s="16" t="s">
        <v>179</v>
      </c>
      <c r="O93" s="4" t="str">
        <f t="shared" si="9"/>
        <v/>
      </c>
      <c r="P93" s="4">
        <v>2</v>
      </c>
      <c r="Q93" s="4">
        <v>2</v>
      </c>
      <c r="R93" s="4">
        <v>1</v>
      </c>
      <c r="S93" s="4" t="s">
        <v>143</v>
      </c>
      <c r="T93" s="4" t="s">
        <v>143</v>
      </c>
      <c r="U93" s="4" t="s">
        <v>143</v>
      </c>
      <c r="W93" s="3" t="s">
        <v>179</v>
      </c>
      <c r="X93" s="3" t="s">
        <v>215</v>
      </c>
      <c r="Y93" s="4">
        <f t="shared" si="11"/>
        <v>134</v>
      </c>
    </row>
    <row r="94" spans="2:25" ht="12" customHeight="1" x14ac:dyDescent="0.15">
      <c r="B94" s="4">
        <v>134</v>
      </c>
      <c r="C94" s="14" t="str">
        <f t="shared" si="8"/>
        <v>Romulan</v>
      </c>
      <c r="D94" s="3" t="s">
        <v>47</v>
      </c>
      <c r="E94" s="14">
        <f t="shared" si="12"/>
        <v>4</v>
      </c>
      <c r="F94" s="4">
        <v>3</v>
      </c>
      <c r="H94" s="4">
        <f t="shared" si="10"/>
        <v>7</v>
      </c>
      <c r="I94" s="4" t="str">
        <f t="shared" si="13"/>
        <v/>
      </c>
      <c r="J94" s="4" t="s">
        <v>4</v>
      </c>
      <c r="K94" s="16" t="s">
        <v>176</v>
      </c>
      <c r="L94" s="16"/>
      <c r="M94" s="16"/>
      <c r="N94" s="16" t="s">
        <v>8</v>
      </c>
      <c r="O94" s="4" t="str">
        <f t="shared" si="9"/>
        <v/>
      </c>
      <c r="P94" s="4">
        <v>2</v>
      </c>
      <c r="W94" s="3" t="s">
        <v>154</v>
      </c>
      <c r="X94" s="3" t="s">
        <v>229</v>
      </c>
      <c r="Y94" s="4">
        <f t="shared" si="11"/>
        <v>134</v>
      </c>
    </row>
    <row r="95" spans="2:25" ht="12" customHeight="1" x14ac:dyDescent="0.15">
      <c r="B95" s="4">
        <v>134</v>
      </c>
      <c r="C95" s="14" t="str">
        <f t="shared" si="8"/>
        <v>Romulan</v>
      </c>
      <c r="D95" s="3" t="s">
        <v>49</v>
      </c>
      <c r="E95" s="14">
        <f t="shared" si="12"/>
        <v>4</v>
      </c>
      <c r="F95" s="4">
        <v>2</v>
      </c>
      <c r="H95" s="4">
        <f t="shared" si="10"/>
        <v>6</v>
      </c>
      <c r="I95" s="4" t="str">
        <f t="shared" si="13"/>
        <v/>
      </c>
      <c r="J95" s="4" t="s">
        <v>4</v>
      </c>
      <c r="K95" s="16" t="s">
        <v>176</v>
      </c>
      <c r="L95" s="16"/>
      <c r="M95" s="16"/>
      <c r="N95" s="16"/>
      <c r="O95" s="4" t="str">
        <f t="shared" si="9"/>
        <v/>
      </c>
      <c r="P95" s="4">
        <v>3</v>
      </c>
      <c r="W95" s="3" t="s">
        <v>176</v>
      </c>
      <c r="X95" s="3" t="s">
        <v>49</v>
      </c>
      <c r="Y95" s="4">
        <f t="shared" si="11"/>
        <v>134</v>
      </c>
    </row>
    <row r="96" spans="2:25" ht="12" customHeight="1" x14ac:dyDescent="0.15">
      <c r="B96" s="4">
        <v>135</v>
      </c>
      <c r="C96" s="14" t="str">
        <f t="shared" si="8"/>
        <v>Klingon</v>
      </c>
      <c r="D96" s="3" t="s">
        <v>97</v>
      </c>
      <c r="E96" s="14">
        <f t="shared" si="12"/>
        <v>8</v>
      </c>
      <c r="F96" s="4">
        <v>2</v>
      </c>
      <c r="H96" s="4">
        <f t="shared" si="10"/>
        <v>10</v>
      </c>
      <c r="I96" s="4" t="str">
        <f t="shared" si="13"/>
        <v/>
      </c>
      <c r="J96" s="4" t="s">
        <v>4</v>
      </c>
      <c r="K96" s="4" t="s">
        <v>7</v>
      </c>
      <c r="N96" s="16" t="s">
        <v>236</v>
      </c>
      <c r="O96" s="4" t="str">
        <f t="shared" si="9"/>
        <v/>
      </c>
      <c r="P96" s="4">
        <v>7</v>
      </c>
      <c r="Q96" s="4">
        <v>3</v>
      </c>
      <c r="R96" s="4">
        <v>0</v>
      </c>
      <c r="S96" s="4" t="s">
        <v>143</v>
      </c>
      <c r="T96" s="4" t="s">
        <v>143</v>
      </c>
      <c r="U96" s="4" t="s">
        <v>143</v>
      </c>
      <c r="W96" s="3" t="s">
        <v>236</v>
      </c>
      <c r="X96" s="3" t="s">
        <v>337</v>
      </c>
      <c r="Y96" s="4">
        <f t="shared" si="11"/>
        <v>135</v>
      </c>
    </row>
    <row r="97" spans="2:25" ht="12" customHeight="1" x14ac:dyDescent="0.15">
      <c r="B97" s="4">
        <v>135</v>
      </c>
      <c r="C97" s="14" t="str">
        <f t="shared" si="8"/>
        <v>Klingon</v>
      </c>
      <c r="D97" s="3" t="s">
        <v>99</v>
      </c>
      <c r="E97" s="14">
        <f t="shared" si="12"/>
        <v>8</v>
      </c>
      <c r="F97" s="4">
        <v>2</v>
      </c>
      <c r="H97" s="4">
        <f t="shared" si="10"/>
        <v>10</v>
      </c>
      <c r="I97" s="4" t="str">
        <f t="shared" si="13"/>
        <v/>
      </c>
      <c r="J97" s="4" t="s">
        <v>4</v>
      </c>
      <c r="K97" s="4" t="s">
        <v>7</v>
      </c>
      <c r="L97" s="16" t="s">
        <v>553</v>
      </c>
      <c r="M97" s="16"/>
      <c r="N97" s="16" t="s">
        <v>559</v>
      </c>
      <c r="O97" s="4" t="str">
        <f t="shared" si="9"/>
        <v/>
      </c>
      <c r="P97" s="4">
        <v>3</v>
      </c>
      <c r="Q97" s="4">
        <v>2</v>
      </c>
      <c r="R97" s="4">
        <v>2</v>
      </c>
      <c r="S97" s="4" t="s">
        <v>421</v>
      </c>
      <c r="T97" s="4" t="s">
        <v>143</v>
      </c>
      <c r="U97" s="4" t="s">
        <v>143</v>
      </c>
      <c r="W97" s="3" t="s">
        <v>288</v>
      </c>
      <c r="X97" s="3" t="s">
        <v>287</v>
      </c>
      <c r="Y97" s="4">
        <f t="shared" si="11"/>
        <v>135</v>
      </c>
    </row>
    <row r="98" spans="2:25" ht="12" customHeight="1" x14ac:dyDescent="0.15">
      <c r="B98" s="4">
        <v>135</v>
      </c>
      <c r="C98" s="14" t="str">
        <f t="shared" si="8"/>
        <v>Klingon</v>
      </c>
      <c r="D98" s="3" t="s">
        <v>98</v>
      </c>
      <c r="E98" s="14">
        <f t="shared" si="12"/>
        <v>8</v>
      </c>
      <c r="F98" s="4">
        <v>2</v>
      </c>
      <c r="H98" s="4">
        <f t="shared" si="10"/>
        <v>10</v>
      </c>
      <c r="I98" s="4" t="str">
        <f t="shared" si="13"/>
        <v/>
      </c>
      <c r="J98" s="4" t="s">
        <v>4</v>
      </c>
      <c r="K98" s="16" t="s">
        <v>257</v>
      </c>
      <c r="L98" s="16"/>
      <c r="M98" s="16"/>
      <c r="N98" s="16"/>
      <c r="O98" s="4" t="str">
        <f t="shared" si="9"/>
        <v/>
      </c>
      <c r="P98" s="4">
        <v>2</v>
      </c>
      <c r="W98" s="3" t="s">
        <v>257</v>
      </c>
      <c r="X98" s="5" t="s">
        <v>258</v>
      </c>
      <c r="Y98" s="4">
        <f t="shared" si="11"/>
        <v>135</v>
      </c>
    </row>
    <row r="99" spans="2:25" ht="12" customHeight="1" x14ac:dyDescent="0.15">
      <c r="B99" s="4">
        <v>135</v>
      </c>
      <c r="C99" s="14" t="str">
        <f t="shared" si="8"/>
        <v>Klingon</v>
      </c>
      <c r="D99" s="3" t="s">
        <v>96</v>
      </c>
      <c r="E99" s="14">
        <f t="shared" si="12"/>
        <v>8</v>
      </c>
      <c r="F99" s="4">
        <v>2</v>
      </c>
      <c r="H99" s="4">
        <f t="shared" si="10"/>
        <v>10</v>
      </c>
      <c r="I99" s="4" t="str">
        <f t="shared" si="13"/>
        <v/>
      </c>
      <c r="J99" s="4" t="s">
        <v>4</v>
      </c>
      <c r="K99" s="16" t="s">
        <v>176</v>
      </c>
      <c r="L99" s="16"/>
      <c r="M99" s="16"/>
      <c r="N99" s="16" t="s">
        <v>8</v>
      </c>
      <c r="O99" s="4" t="str">
        <f t="shared" si="9"/>
        <v/>
      </c>
      <c r="P99" s="4">
        <v>2</v>
      </c>
      <c r="W99" s="3" t="s">
        <v>154</v>
      </c>
      <c r="X99" s="5" t="s">
        <v>229</v>
      </c>
      <c r="Y99" s="4">
        <f t="shared" si="11"/>
        <v>135</v>
      </c>
    </row>
    <row r="100" spans="2:25" ht="12" customHeight="1" x14ac:dyDescent="0.15">
      <c r="B100" s="4">
        <v>136</v>
      </c>
      <c r="C100" s="14" t="str">
        <f t="shared" si="8"/>
        <v>Ferengi</v>
      </c>
      <c r="D100" s="3" t="s">
        <v>54</v>
      </c>
      <c r="E100" s="14">
        <f t="shared" si="12"/>
        <v>7</v>
      </c>
      <c r="F100" s="4">
        <v>1</v>
      </c>
      <c r="G100" s="4">
        <v>4</v>
      </c>
      <c r="H100" s="4">
        <f t="shared" si="10"/>
        <v>12</v>
      </c>
      <c r="I100" s="4" t="str">
        <f t="shared" si="13"/>
        <v/>
      </c>
      <c r="J100" s="4" t="s">
        <v>4</v>
      </c>
      <c r="K100" s="4" t="s">
        <v>7</v>
      </c>
      <c r="L100" s="16" t="s">
        <v>553</v>
      </c>
      <c r="M100" s="16"/>
      <c r="N100" s="16" t="s">
        <v>86</v>
      </c>
      <c r="O100" s="4" t="str">
        <f t="shared" si="9"/>
        <v>Y</v>
      </c>
      <c r="P100" s="4">
        <v>4</v>
      </c>
      <c r="Q100" s="4">
        <v>3</v>
      </c>
      <c r="R100" s="4">
        <v>1</v>
      </c>
      <c r="S100" s="4" t="s">
        <v>409</v>
      </c>
      <c r="T100" s="4" t="s">
        <v>411</v>
      </c>
      <c r="U100" s="4" t="s">
        <v>143</v>
      </c>
      <c r="W100" s="3" t="s">
        <v>167</v>
      </c>
      <c r="X100" s="3" t="s">
        <v>177</v>
      </c>
      <c r="Y100" s="4">
        <f t="shared" si="11"/>
        <v>136</v>
      </c>
    </row>
    <row r="101" spans="2:25" ht="12" customHeight="1" x14ac:dyDescent="0.15">
      <c r="B101" s="4">
        <v>136</v>
      </c>
      <c r="C101" s="14" t="str">
        <f t="shared" si="8"/>
        <v>Ferengi</v>
      </c>
      <c r="D101" s="3" t="s">
        <v>57</v>
      </c>
      <c r="E101" s="14">
        <f t="shared" si="12"/>
        <v>7</v>
      </c>
      <c r="F101" s="4">
        <v>5</v>
      </c>
      <c r="H101" s="4">
        <f t="shared" si="10"/>
        <v>12</v>
      </c>
      <c r="I101" s="4" t="str">
        <f t="shared" si="13"/>
        <v/>
      </c>
      <c r="J101" s="4" t="s">
        <v>4</v>
      </c>
      <c r="K101" s="4" t="s">
        <v>7</v>
      </c>
      <c r="O101" s="4" t="str">
        <f t="shared" si="9"/>
        <v/>
      </c>
      <c r="P101" s="4">
        <v>4</v>
      </c>
      <c r="Q101" s="4">
        <v>6</v>
      </c>
      <c r="R101" s="4">
        <v>0</v>
      </c>
      <c r="S101" s="4" t="s">
        <v>143</v>
      </c>
      <c r="T101" s="4" t="s">
        <v>143</v>
      </c>
      <c r="U101" s="4" t="s">
        <v>143</v>
      </c>
      <c r="W101" s="3" t="s">
        <v>143</v>
      </c>
      <c r="X101" s="3" t="s">
        <v>370</v>
      </c>
      <c r="Y101" s="4">
        <f t="shared" si="11"/>
        <v>136</v>
      </c>
    </row>
    <row r="102" spans="2:25" ht="12" customHeight="1" x14ac:dyDescent="0.15">
      <c r="B102" s="4">
        <v>136</v>
      </c>
      <c r="C102" s="14" t="str">
        <f t="shared" si="8"/>
        <v>Ferengi</v>
      </c>
      <c r="D102" s="3" t="s">
        <v>55</v>
      </c>
      <c r="E102" s="14">
        <f t="shared" si="12"/>
        <v>7</v>
      </c>
      <c r="F102" s="4">
        <v>3</v>
      </c>
      <c r="H102" s="4">
        <f t="shared" si="10"/>
        <v>10</v>
      </c>
      <c r="I102" s="4" t="str">
        <f t="shared" si="13"/>
        <v/>
      </c>
      <c r="J102" s="4" t="s">
        <v>4</v>
      </c>
      <c r="K102" s="4" t="s">
        <v>7</v>
      </c>
      <c r="O102" s="4" t="str">
        <f t="shared" si="9"/>
        <v/>
      </c>
      <c r="P102" s="4">
        <v>4</v>
      </c>
      <c r="Q102" s="4">
        <v>1</v>
      </c>
      <c r="R102" s="4">
        <v>0</v>
      </c>
      <c r="S102" s="4" t="s">
        <v>143</v>
      </c>
      <c r="T102" s="4" t="s">
        <v>143</v>
      </c>
      <c r="U102" s="4" t="s">
        <v>143</v>
      </c>
      <c r="W102" s="3" t="s">
        <v>143</v>
      </c>
      <c r="X102" s="3" t="s">
        <v>184</v>
      </c>
      <c r="Y102" s="4">
        <f t="shared" si="11"/>
        <v>136</v>
      </c>
    </row>
    <row r="103" spans="2:25" ht="12" customHeight="1" x14ac:dyDescent="0.15">
      <c r="B103" s="4">
        <v>136</v>
      </c>
      <c r="C103" s="14" t="str">
        <f t="shared" si="8"/>
        <v>Ferengi</v>
      </c>
      <c r="D103" s="3" t="s">
        <v>56</v>
      </c>
      <c r="E103" s="14">
        <f t="shared" si="12"/>
        <v>7</v>
      </c>
      <c r="F103" s="4">
        <v>5</v>
      </c>
      <c r="H103" s="4">
        <f t="shared" si="10"/>
        <v>12</v>
      </c>
      <c r="I103" s="4" t="str">
        <f t="shared" si="13"/>
        <v/>
      </c>
      <c r="J103" s="4" t="s">
        <v>4</v>
      </c>
      <c r="K103" s="16" t="s">
        <v>176</v>
      </c>
      <c r="L103" s="16"/>
      <c r="M103" s="16"/>
      <c r="N103" s="16"/>
      <c r="O103" s="4" t="str">
        <f t="shared" si="9"/>
        <v/>
      </c>
      <c r="P103" s="4">
        <v>5</v>
      </c>
      <c r="W103" s="3" t="s">
        <v>176</v>
      </c>
      <c r="X103" s="3" t="s">
        <v>175</v>
      </c>
      <c r="Y103" s="4">
        <f t="shared" si="11"/>
        <v>136</v>
      </c>
    </row>
    <row r="104" spans="2:25" ht="12" customHeight="1" x14ac:dyDescent="0.15">
      <c r="B104" s="4">
        <v>137</v>
      </c>
      <c r="C104" s="14" t="str">
        <f t="shared" si="8"/>
        <v>Federation</v>
      </c>
      <c r="D104" s="3" t="s">
        <v>113</v>
      </c>
      <c r="E104" s="14">
        <f t="shared" si="12"/>
        <v>13</v>
      </c>
      <c r="F104" s="4">
        <v>1</v>
      </c>
      <c r="G104" s="4">
        <v>5</v>
      </c>
      <c r="H104" s="4">
        <f t="shared" si="10"/>
        <v>19</v>
      </c>
      <c r="I104" s="4" t="str">
        <f t="shared" si="13"/>
        <v/>
      </c>
      <c r="J104" s="4" t="s">
        <v>4</v>
      </c>
      <c r="K104" s="4" t="s">
        <v>7</v>
      </c>
      <c r="L104" s="16" t="s">
        <v>553</v>
      </c>
      <c r="M104" s="16"/>
      <c r="N104" s="16" t="s">
        <v>82</v>
      </c>
      <c r="O104" s="4" t="str">
        <f t="shared" si="9"/>
        <v>Y</v>
      </c>
      <c r="P104" s="4">
        <v>2</v>
      </c>
      <c r="Q104" s="4">
        <v>0</v>
      </c>
      <c r="R104" s="4">
        <v>0</v>
      </c>
      <c r="S104" s="4" t="s">
        <v>143</v>
      </c>
      <c r="T104" s="4" t="s">
        <v>143</v>
      </c>
      <c r="U104" s="4" t="s">
        <v>143</v>
      </c>
      <c r="W104" s="3" t="s">
        <v>169</v>
      </c>
      <c r="X104" s="3" t="s">
        <v>206</v>
      </c>
      <c r="Y104" s="4">
        <f t="shared" si="11"/>
        <v>137</v>
      </c>
    </row>
    <row r="105" spans="2:25" ht="12" customHeight="1" x14ac:dyDescent="0.15">
      <c r="B105" s="4">
        <v>137</v>
      </c>
      <c r="C105" s="14" t="str">
        <f t="shared" si="8"/>
        <v>Federation</v>
      </c>
      <c r="D105" s="3" t="s">
        <v>321</v>
      </c>
      <c r="E105" s="14">
        <f t="shared" si="12"/>
        <v>13</v>
      </c>
      <c r="F105" s="4">
        <v>5</v>
      </c>
      <c r="H105" s="4">
        <f t="shared" si="10"/>
        <v>18</v>
      </c>
      <c r="I105" s="4" t="str">
        <f t="shared" si="13"/>
        <v/>
      </c>
      <c r="J105" s="4" t="s">
        <v>4</v>
      </c>
      <c r="K105" s="4" t="s">
        <v>7</v>
      </c>
      <c r="L105" s="42" t="s">
        <v>553</v>
      </c>
      <c r="N105" s="16" t="s">
        <v>86</v>
      </c>
      <c r="O105" s="4" t="str">
        <f t="shared" si="9"/>
        <v/>
      </c>
      <c r="P105" s="4">
        <v>2</v>
      </c>
      <c r="Q105" s="4">
        <v>2</v>
      </c>
      <c r="R105" s="4">
        <v>1</v>
      </c>
      <c r="S105" s="4" t="s">
        <v>143</v>
      </c>
      <c r="T105" s="4" t="s">
        <v>143</v>
      </c>
      <c r="U105" s="4" t="s">
        <v>143</v>
      </c>
      <c r="W105" s="3" t="s">
        <v>86</v>
      </c>
      <c r="X105" s="3" t="s">
        <v>322</v>
      </c>
      <c r="Y105" s="4">
        <f t="shared" si="11"/>
        <v>137</v>
      </c>
    </row>
    <row r="106" spans="2:25" ht="12" customHeight="1" x14ac:dyDescent="0.15">
      <c r="B106" s="4">
        <v>137</v>
      </c>
      <c r="C106" s="14" t="str">
        <f t="shared" si="8"/>
        <v>Federation</v>
      </c>
      <c r="D106" s="3" t="s">
        <v>115</v>
      </c>
      <c r="E106" s="14">
        <f t="shared" si="12"/>
        <v>13</v>
      </c>
      <c r="F106" s="4">
        <v>5</v>
      </c>
      <c r="H106" s="4">
        <f t="shared" si="10"/>
        <v>18</v>
      </c>
      <c r="I106" s="4" t="str">
        <f t="shared" si="13"/>
        <v/>
      </c>
      <c r="J106" s="4" t="s">
        <v>4</v>
      </c>
      <c r="K106" s="4" t="s">
        <v>7</v>
      </c>
      <c r="L106" s="16" t="s">
        <v>21</v>
      </c>
      <c r="M106" s="16"/>
      <c r="O106" s="4" t="str">
        <f t="shared" si="9"/>
        <v/>
      </c>
      <c r="P106" s="4">
        <v>3</v>
      </c>
      <c r="Q106" s="4">
        <v>2</v>
      </c>
      <c r="R106" s="4">
        <v>3</v>
      </c>
      <c r="S106" s="4" t="s">
        <v>143</v>
      </c>
      <c r="T106" s="4" t="s">
        <v>143</v>
      </c>
      <c r="U106" s="4" t="s">
        <v>143</v>
      </c>
      <c r="W106" s="3" t="s">
        <v>21</v>
      </c>
      <c r="X106" s="3" t="s">
        <v>369</v>
      </c>
      <c r="Y106" s="4">
        <f t="shared" si="11"/>
        <v>137</v>
      </c>
    </row>
    <row r="107" spans="2:25" ht="12" customHeight="1" x14ac:dyDescent="0.15">
      <c r="B107" s="4">
        <v>137</v>
      </c>
      <c r="C107" s="14" t="str">
        <f t="shared" si="8"/>
        <v>Federation</v>
      </c>
      <c r="D107" s="3" t="s">
        <v>114</v>
      </c>
      <c r="E107" s="14">
        <f t="shared" si="12"/>
        <v>13</v>
      </c>
      <c r="F107" s="4">
        <v>5</v>
      </c>
      <c r="H107" s="4">
        <f t="shared" si="10"/>
        <v>18</v>
      </c>
      <c r="I107" s="4" t="str">
        <f t="shared" si="13"/>
        <v/>
      </c>
      <c r="J107" s="4" t="s">
        <v>4</v>
      </c>
      <c r="K107" s="16" t="s">
        <v>257</v>
      </c>
      <c r="L107" s="16"/>
      <c r="M107" s="16"/>
      <c r="N107" s="16"/>
      <c r="O107" s="4" t="str">
        <f t="shared" si="9"/>
        <v/>
      </c>
      <c r="P107" s="4">
        <v>1</v>
      </c>
      <c r="W107" s="3" t="s">
        <v>257</v>
      </c>
      <c r="X107" s="5" t="s">
        <v>259</v>
      </c>
      <c r="Y107" s="4">
        <f t="shared" si="11"/>
        <v>137</v>
      </c>
    </row>
    <row r="108" spans="2:25" ht="12" customHeight="1" x14ac:dyDescent="0.15">
      <c r="B108" s="4">
        <v>138</v>
      </c>
      <c r="C108" s="14" t="str">
        <f t="shared" si="8"/>
        <v>Romulan</v>
      </c>
      <c r="D108" s="3" t="s">
        <v>349</v>
      </c>
      <c r="E108" s="14">
        <f t="shared" si="12"/>
        <v>6</v>
      </c>
      <c r="F108" s="4">
        <v>2</v>
      </c>
      <c r="H108" s="4">
        <f t="shared" si="10"/>
        <v>8</v>
      </c>
      <c r="I108" s="4" t="str">
        <f t="shared" si="13"/>
        <v/>
      </c>
      <c r="J108" s="4" t="s">
        <v>4</v>
      </c>
      <c r="K108" s="4" t="s">
        <v>7</v>
      </c>
      <c r="L108" s="16" t="s">
        <v>21</v>
      </c>
      <c r="M108" s="16"/>
      <c r="O108" s="4" t="str">
        <f t="shared" si="9"/>
        <v/>
      </c>
      <c r="P108" s="4">
        <v>3</v>
      </c>
      <c r="Q108" s="4">
        <v>2</v>
      </c>
      <c r="R108" s="4">
        <v>3</v>
      </c>
      <c r="S108" s="4" t="s">
        <v>143</v>
      </c>
      <c r="T108" s="4" t="s">
        <v>143</v>
      </c>
      <c r="U108" s="4" t="s">
        <v>143</v>
      </c>
      <c r="W108" s="3" t="s">
        <v>21</v>
      </c>
      <c r="X108" s="3" t="s">
        <v>432</v>
      </c>
      <c r="Y108" s="4">
        <f t="shared" si="11"/>
        <v>138</v>
      </c>
    </row>
    <row r="109" spans="2:25" ht="12" customHeight="1" x14ac:dyDescent="0.15">
      <c r="B109" s="4">
        <v>138</v>
      </c>
      <c r="C109" s="14" t="str">
        <f t="shared" si="8"/>
        <v>Romulan</v>
      </c>
      <c r="D109" s="3" t="s">
        <v>52</v>
      </c>
      <c r="E109" s="14">
        <f t="shared" si="12"/>
        <v>6</v>
      </c>
      <c r="F109" s="4">
        <v>1</v>
      </c>
      <c r="G109" s="4">
        <v>1</v>
      </c>
      <c r="H109" s="4">
        <f t="shared" si="10"/>
        <v>8</v>
      </c>
      <c r="I109" s="4" t="str">
        <f t="shared" si="13"/>
        <v/>
      </c>
      <c r="J109" s="4" t="s">
        <v>4</v>
      </c>
      <c r="K109" s="4" t="s">
        <v>7</v>
      </c>
      <c r="L109" s="16" t="s">
        <v>553</v>
      </c>
      <c r="M109" s="16"/>
      <c r="N109" s="16" t="s">
        <v>86</v>
      </c>
      <c r="O109" s="4" t="str">
        <f t="shared" si="9"/>
        <v>Y</v>
      </c>
      <c r="P109" s="4">
        <v>3</v>
      </c>
      <c r="Q109" s="4">
        <v>3</v>
      </c>
      <c r="R109" s="4">
        <v>1</v>
      </c>
      <c r="S109" s="4" t="s">
        <v>421</v>
      </c>
      <c r="T109" s="4" t="s">
        <v>409</v>
      </c>
      <c r="U109" s="4" t="s">
        <v>143</v>
      </c>
      <c r="W109" s="3" t="s">
        <v>167</v>
      </c>
      <c r="X109" s="3" t="s">
        <v>427</v>
      </c>
      <c r="Y109" s="4">
        <f t="shared" si="11"/>
        <v>138</v>
      </c>
    </row>
    <row r="110" spans="2:25" ht="12" customHeight="1" x14ac:dyDescent="0.15">
      <c r="B110" s="4">
        <v>138</v>
      </c>
      <c r="C110" s="14" t="str">
        <f t="shared" si="8"/>
        <v>Romulan</v>
      </c>
      <c r="D110" s="3" t="s">
        <v>51</v>
      </c>
      <c r="E110" s="14">
        <f t="shared" si="12"/>
        <v>6</v>
      </c>
      <c r="F110" s="4">
        <v>1</v>
      </c>
      <c r="G110" s="4">
        <v>1</v>
      </c>
      <c r="H110" s="4">
        <f t="shared" si="10"/>
        <v>8</v>
      </c>
      <c r="I110" s="4" t="str">
        <f t="shared" si="13"/>
        <v/>
      </c>
      <c r="J110" s="4" t="s">
        <v>4</v>
      </c>
      <c r="K110" s="4" t="s">
        <v>7</v>
      </c>
      <c r="L110" s="16" t="s">
        <v>553</v>
      </c>
      <c r="M110" s="16"/>
      <c r="N110" s="16" t="s">
        <v>171</v>
      </c>
      <c r="O110" s="4" t="str">
        <f t="shared" si="9"/>
        <v>Y</v>
      </c>
      <c r="P110" s="4">
        <v>6</v>
      </c>
      <c r="Q110" s="4">
        <v>4</v>
      </c>
      <c r="R110" s="4">
        <v>3</v>
      </c>
      <c r="S110" s="4" t="s">
        <v>421</v>
      </c>
      <c r="T110" s="4" t="s">
        <v>409</v>
      </c>
      <c r="U110" s="4" t="s">
        <v>411</v>
      </c>
      <c r="W110" s="3" t="s">
        <v>328</v>
      </c>
      <c r="X110" s="3" t="s">
        <v>291</v>
      </c>
      <c r="Y110" s="4">
        <f t="shared" si="11"/>
        <v>138</v>
      </c>
    </row>
    <row r="111" spans="2:25" ht="12" customHeight="1" x14ac:dyDescent="0.15">
      <c r="B111" s="4">
        <v>138</v>
      </c>
      <c r="C111" s="14" t="str">
        <f t="shared" si="8"/>
        <v>Romulan</v>
      </c>
      <c r="D111" s="3" t="s">
        <v>53</v>
      </c>
      <c r="E111" s="14">
        <f t="shared" si="12"/>
        <v>6</v>
      </c>
      <c r="F111" s="4">
        <v>2</v>
      </c>
      <c r="H111" s="4">
        <f t="shared" si="10"/>
        <v>8</v>
      </c>
      <c r="I111" s="4" t="str">
        <f t="shared" si="13"/>
        <v/>
      </c>
      <c r="J111" s="4" t="s">
        <v>4</v>
      </c>
      <c r="K111" s="16" t="s">
        <v>257</v>
      </c>
      <c r="L111" s="16"/>
      <c r="M111" s="16"/>
      <c r="N111" s="16"/>
      <c r="O111" s="4" t="str">
        <f t="shared" si="9"/>
        <v/>
      </c>
      <c r="P111" s="4">
        <v>2</v>
      </c>
      <c r="W111" s="3" t="s">
        <v>257</v>
      </c>
      <c r="X111" s="5" t="s">
        <v>259</v>
      </c>
      <c r="Y111" s="4">
        <f t="shared" si="11"/>
        <v>138</v>
      </c>
    </row>
    <row r="112" spans="2:25" ht="12" customHeight="1" x14ac:dyDescent="0.15">
      <c r="B112" s="4">
        <v>139</v>
      </c>
      <c r="C112" s="14" t="str">
        <f t="shared" si="8"/>
        <v>Klingon</v>
      </c>
      <c r="D112" s="3" t="s">
        <v>77</v>
      </c>
      <c r="E112" s="14">
        <f t="shared" si="12"/>
        <v>10</v>
      </c>
      <c r="F112" s="4">
        <v>1</v>
      </c>
      <c r="H112" s="4">
        <f t="shared" si="10"/>
        <v>11</v>
      </c>
      <c r="I112" s="4" t="str">
        <f t="shared" si="13"/>
        <v/>
      </c>
      <c r="J112" s="4" t="s">
        <v>4</v>
      </c>
      <c r="K112" s="4" t="s">
        <v>7</v>
      </c>
      <c r="N112" s="16" t="s">
        <v>179</v>
      </c>
      <c r="O112" s="4" t="str">
        <f t="shared" si="9"/>
        <v>Y</v>
      </c>
      <c r="P112" s="4">
        <v>3</v>
      </c>
      <c r="Q112" s="4">
        <v>3</v>
      </c>
      <c r="R112" s="4">
        <v>2</v>
      </c>
      <c r="S112" s="4" t="s">
        <v>414</v>
      </c>
      <c r="T112" s="4" t="s">
        <v>143</v>
      </c>
      <c r="U112" s="4" t="s">
        <v>143</v>
      </c>
      <c r="W112" s="3" t="s">
        <v>164</v>
      </c>
      <c r="X112" s="3" t="s">
        <v>341</v>
      </c>
      <c r="Y112" s="4">
        <f t="shared" si="11"/>
        <v>139</v>
      </c>
    </row>
    <row r="113" spans="2:25" ht="12" customHeight="1" x14ac:dyDescent="0.15">
      <c r="B113" s="4">
        <v>139</v>
      </c>
      <c r="C113" s="14" t="str">
        <f t="shared" si="8"/>
        <v>Klingon</v>
      </c>
      <c r="D113" s="3" t="s">
        <v>281</v>
      </c>
      <c r="E113" s="14">
        <f t="shared" si="12"/>
        <v>10</v>
      </c>
      <c r="F113" s="4">
        <v>1</v>
      </c>
      <c r="H113" s="4">
        <f t="shared" si="10"/>
        <v>11</v>
      </c>
      <c r="I113" s="4" t="str">
        <f t="shared" si="13"/>
        <v/>
      </c>
      <c r="J113" s="4" t="s">
        <v>4</v>
      </c>
      <c r="K113" s="4" t="s">
        <v>7</v>
      </c>
      <c r="L113" s="16" t="s">
        <v>553</v>
      </c>
      <c r="M113" s="16"/>
      <c r="N113" s="16" t="s">
        <v>86</v>
      </c>
      <c r="O113" s="4" t="str">
        <f t="shared" si="9"/>
        <v/>
      </c>
      <c r="P113" s="4">
        <v>3</v>
      </c>
      <c r="Q113" s="4">
        <v>2</v>
      </c>
      <c r="R113" s="4">
        <v>1</v>
      </c>
      <c r="S113" s="4" t="s">
        <v>143</v>
      </c>
      <c r="T113" s="4" t="s">
        <v>143</v>
      </c>
      <c r="U113" s="4" t="s">
        <v>143</v>
      </c>
      <c r="W113" s="3" t="s">
        <v>283</v>
      </c>
      <c r="X113" s="3" t="s">
        <v>282</v>
      </c>
      <c r="Y113" s="4">
        <f t="shared" si="11"/>
        <v>139</v>
      </c>
    </row>
    <row r="114" spans="2:25" ht="12" customHeight="1" x14ac:dyDescent="0.15">
      <c r="B114" s="4">
        <v>139</v>
      </c>
      <c r="C114" s="14" t="str">
        <f t="shared" si="8"/>
        <v>Klingon</v>
      </c>
      <c r="D114" s="3" t="s">
        <v>78</v>
      </c>
      <c r="E114" s="14">
        <f t="shared" si="12"/>
        <v>10</v>
      </c>
      <c r="F114" s="4">
        <v>1</v>
      </c>
      <c r="H114" s="4">
        <f t="shared" si="10"/>
        <v>11</v>
      </c>
      <c r="I114" s="4" t="str">
        <f t="shared" si="13"/>
        <v/>
      </c>
      <c r="J114" s="4" t="s">
        <v>4</v>
      </c>
      <c r="K114" s="4" t="s">
        <v>7</v>
      </c>
      <c r="L114" s="16" t="s">
        <v>553</v>
      </c>
      <c r="M114" s="16"/>
      <c r="N114" s="16" t="s">
        <v>559</v>
      </c>
      <c r="O114" s="4" t="str">
        <f t="shared" si="9"/>
        <v/>
      </c>
      <c r="P114" s="4">
        <v>3</v>
      </c>
      <c r="Q114" s="4">
        <v>2</v>
      </c>
      <c r="R114" s="4">
        <v>2</v>
      </c>
      <c r="S114" s="4" t="s">
        <v>421</v>
      </c>
      <c r="T114" s="4" t="s">
        <v>143</v>
      </c>
      <c r="U114" s="4" t="s">
        <v>143</v>
      </c>
      <c r="W114" s="3" t="s">
        <v>288</v>
      </c>
      <c r="X114" s="3" t="s">
        <v>289</v>
      </c>
      <c r="Y114" s="4">
        <f t="shared" si="11"/>
        <v>139</v>
      </c>
    </row>
    <row r="115" spans="2:25" ht="12" customHeight="1" x14ac:dyDescent="0.15">
      <c r="B115" s="4">
        <v>139</v>
      </c>
      <c r="C115" s="14" t="str">
        <f t="shared" si="8"/>
        <v>Klingon</v>
      </c>
      <c r="D115" s="3" t="s">
        <v>53</v>
      </c>
      <c r="E115" s="14">
        <f t="shared" si="12"/>
        <v>10</v>
      </c>
      <c r="F115" s="4">
        <v>1</v>
      </c>
      <c r="H115" s="4">
        <f t="shared" si="10"/>
        <v>11</v>
      </c>
      <c r="I115" s="4" t="str">
        <f t="shared" si="13"/>
        <v/>
      </c>
      <c r="J115" s="4" t="s">
        <v>4</v>
      </c>
      <c r="K115" s="16" t="s">
        <v>257</v>
      </c>
      <c r="L115" s="16"/>
      <c r="M115" s="16"/>
      <c r="N115" s="16"/>
      <c r="O115" s="4" t="str">
        <f t="shared" si="9"/>
        <v/>
      </c>
      <c r="P115" s="4">
        <v>2</v>
      </c>
      <c r="W115" s="3" t="s">
        <v>257</v>
      </c>
      <c r="X115" s="5" t="s">
        <v>259</v>
      </c>
      <c r="Y115" s="4">
        <f t="shared" si="11"/>
        <v>139</v>
      </c>
    </row>
    <row r="116" spans="2:25" ht="12" customHeight="1" x14ac:dyDescent="0.15">
      <c r="B116" s="4">
        <v>140</v>
      </c>
      <c r="C116" s="14" t="str">
        <f t="shared" si="8"/>
        <v>Cardassian</v>
      </c>
      <c r="D116" s="3" t="s">
        <v>15</v>
      </c>
      <c r="E116" s="14">
        <f t="shared" si="12"/>
        <v>5</v>
      </c>
      <c r="F116" s="4">
        <v>1</v>
      </c>
      <c r="H116" s="4">
        <f t="shared" si="10"/>
        <v>6</v>
      </c>
      <c r="I116" s="4" t="str">
        <f t="shared" si="13"/>
        <v/>
      </c>
      <c r="J116" s="4" t="s">
        <v>4</v>
      </c>
      <c r="K116" s="4" t="s">
        <v>7</v>
      </c>
      <c r="L116" s="16" t="s">
        <v>137</v>
      </c>
      <c r="M116" s="16"/>
      <c r="O116" s="4" t="str">
        <f t="shared" si="9"/>
        <v/>
      </c>
      <c r="P116" s="4">
        <v>3</v>
      </c>
      <c r="Q116" s="4">
        <v>2</v>
      </c>
      <c r="R116" s="4">
        <v>3</v>
      </c>
      <c r="S116" s="4" t="s">
        <v>143</v>
      </c>
      <c r="T116" s="4" t="s">
        <v>143</v>
      </c>
      <c r="U116" s="4" t="s">
        <v>143</v>
      </c>
      <c r="W116" s="3" t="s">
        <v>137</v>
      </c>
      <c r="X116" s="5" t="s">
        <v>159</v>
      </c>
      <c r="Y116" s="4">
        <f t="shared" si="11"/>
        <v>140</v>
      </c>
    </row>
    <row r="117" spans="2:25" ht="12" customHeight="1" x14ac:dyDescent="0.15">
      <c r="B117" s="4">
        <v>140</v>
      </c>
      <c r="C117" s="14" t="str">
        <f t="shared" si="8"/>
        <v>Cardassian</v>
      </c>
      <c r="D117" s="3" t="s">
        <v>162</v>
      </c>
      <c r="E117" s="14">
        <f t="shared" si="12"/>
        <v>5</v>
      </c>
      <c r="F117" s="4">
        <v>1</v>
      </c>
      <c r="H117" s="4">
        <f t="shared" si="10"/>
        <v>6</v>
      </c>
      <c r="I117" s="4" t="str">
        <f t="shared" si="13"/>
        <v/>
      </c>
      <c r="J117" s="4" t="s">
        <v>4</v>
      </c>
      <c r="K117" s="4" t="s">
        <v>7</v>
      </c>
      <c r="N117" s="16" t="s">
        <v>179</v>
      </c>
      <c r="O117" s="4" t="str">
        <f t="shared" si="9"/>
        <v>Y</v>
      </c>
      <c r="P117" s="4">
        <v>5</v>
      </c>
      <c r="Q117" s="4">
        <v>1</v>
      </c>
      <c r="R117" s="4">
        <v>1</v>
      </c>
      <c r="S117" s="4" t="s">
        <v>414</v>
      </c>
      <c r="T117" s="4" t="s">
        <v>409</v>
      </c>
      <c r="U117" s="4" t="s">
        <v>411</v>
      </c>
      <c r="W117" s="3" t="s">
        <v>164</v>
      </c>
      <c r="X117" s="3" t="s">
        <v>163</v>
      </c>
      <c r="Y117" s="4">
        <f t="shared" si="11"/>
        <v>140</v>
      </c>
    </row>
    <row r="118" spans="2:25" ht="12" customHeight="1" x14ac:dyDescent="0.15">
      <c r="B118" s="4">
        <v>140</v>
      </c>
      <c r="C118" s="14" t="str">
        <f t="shared" si="8"/>
        <v>Cardassian</v>
      </c>
      <c r="D118" s="3" t="s">
        <v>14</v>
      </c>
      <c r="E118" s="14">
        <f t="shared" si="12"/>
        <v>5</v>
      </c>
      <c r="F118" s="4">
        <v>1</v>
      </c>
      <c r="H118" s="4">
        <f t="shared" si="10"/>
        <v>6</v>
      </c>
      <c r="I118" s="4" t="str">
        <f t="shared" si="13"/>
        <v/>
      </c>
      <c r="J118" s="4" t="s">
        <v>4</v>
      </c>
      <c r="K118" s="4" t="s">
        <v>7</v>
      </c>
      <c r="M118" s="16" t="s">
        <v>166</v>
      </c>
      <c r="N118" s="16"/>
      <c r="O118" s="4" t="str">
        <f t="shared" si="9"/>
        <v/>
      </c>
      <c r="P118" s="4">
        <v>3</v>
      </c>
      <c r="Q118" s="4">
        <v>2</v>
      </c>
      <c r="R118" s="4">
        <v>1</v>
      </c>
      <c r="S118" s="4" t="s">
        <v>143</v>
      </c>
      <c r="T118" s="4" t="s">
        <v>143</v>
      </c>
      <c r="U118" s="4" t="s">
        <v>143</v>
      </c>
      <c r="W118" s="3" t="s">
        <v>166</v>
      </c>
      <c r="X118" s="3" t="s">
        <v>165</v>
      </c>
      <c r="Y118" s="4">
        <f t="shared" si="11"/>
        <v>140</v>
      </c>
    </row>
    <row r="119" spans="2:25" ht="12" customHeight="1" x14ac:dyDescent="0.15">
      <c r="B119" s="4">
        <v>140</v>
      </c>
      <c r="C119" s="14" t="str">
        <f t="shared" si="8"/>
        <v>Cardassian</v>
      </c>
      <c r="D119" s="3" t="s">
        <v>13</v>
      </c>
      <c r="E119" s="14">
        <f t="shared" si="12"/>
        <v>5</v>
      </c>
      <c r="F119" s="4">
        <v>1</v>
      </c>
      <c r="H119" s="4">
        <f t="shared" si="10"/>
        <v>6</v>
      </c>
      <c r="I119" s="4" t="str">
        <f t="shared" si="13"/>
        <v/>
      </c>
      <c r="J119" s="4" t="s">
        <v>4</v>
      </c>
      <c r="K119" s="16" t="s">
        <v>176</v>
      </c>
      <c r="L119" s="16"/>
      <c r="M119" s="16"/>
      <c r="N119" s="16"/>
      <c r="O119" s="4" t="str">
        <f t="shared" si="9"/>
        <v/>
      </c>
      <c r="P119" s="4">
        <v>1</v>
      </c>
      <c r="W119" s="3" t="s">
        <v>154</v>
      </c>
      <c r="X119" s="5" t="s">
        <v>153</v>
      </c>
      <c r="Y119" s="4">
        <f t="shared" si="11"/>
        <v>140</v>
      </c>
    </row>
    <row r="120" spans="2:25" ht="12" customHeight="1" x14ac:dyDescent="0.15">
      <c r="B120" s="4">
        <v>141</v>
      </c>
      <c r="C120" s="14" t="str">
        <f t="shared" si="8"/>
        <v>Federation</v>
      </c>
      <c r="D120" s="3" t="s">
        <v>318</v>
      </c>
      <c r="E120" s="14">
        <f t="shared" si="12"/>
        <v>8</v>
      </c>
      <c r="F120" s="4">
        <v>1</v>
      </c>
      <c r="G120" s="4">
        <v>2</v>
      </c>
      <c r="H120" s="4">
        <f t="shared" si="10"/>
        <v>11</v>
      </c>
      <c r="I120" s="4" t="str">
        <f t="shared" si="13"/>
        <v/>
      </c>
      <c r="J120" s="4" t="s">
        <v>17</v>
      </c>
      <c r="K120" s="4" t="s">
        <v>7</v>
      </c>
      <c r="N120" s="16" t="s">
        <v>179</v>
      </c>
      <c r="O120" s="4" t="str">
        <f t="shared" si="9"/>
        <v>Y</v>
      </c>
      <c r="P120" s="4">
        <v>5</v>
      </c>
      <c r="Q120" s="4">
        <v>4</v>
      </c>
      <c r="R120" s="4">
        <v>1</v>
      </c>
      <c r="S120" s="4" t="s">
        <v>414</v>
      </c>
      <c r="T120" s="4" t="s">
        <v>409</v>
      </c>
      <c r="U120" s="4" t="s">
        <v>411</v>
      </c>
      <c r="W120" s="3" t="s">
        <v>164</v>
      </c>
      <c r="X120" s="3" t="s">
        <v>163</v>
      </c>
      <c r="Y120" s="4">
        <f t="shared" si="11"/>
        <v>141</v>
      </c>
    </row>
    <row r="121" spans="2:25" ht="12" customHeight="1" x14ac:dyDescent="0.15">
      <c r="B121" s="4">
        <v>141</v>
      </c>
      <c r="C121" s="14" t="str">
        <f t="shared" si="8"/>
        <v>Federation</v>
      </c>
      <c r="D121" s="3" t="s">
        <v>187</v>
      </c>
      <c r="E121" s="14">
        <f t="shared" si="12"/>
        <v>8</v>
      </c>
      <c r="F121" s="4">
        <v>1</v>
      </c>
      <c r="G121" s="4">
        <v>2</v>
      </c>
      <c r="H121" s="4">
        <f t="shared" si="10"/>
        <v>11</v>
      </c>
      <c r="I121" s="4" t="str">
        <f t="shared" si="13"/>
        <v/>
      </c>
      <c r="J121" s="4" t="s">
        <v>17</v>
      </c>
      <c r="K121" s="4" t="s">
        <v>354</v>
      </c>
      <c r="O121" s="4" t="str">
        <f t="shared" si="9"/>
        <v>Y</v>
      </c>
      <c r="P121" s="4">
        <v>20</v>
      </c>
      <c r="Q121" s="4">
        <v>6</v>
      </c>
      <c r="R121" s="4">
        <v>6</v>
      </c>
      <c r="S121" s="4">
        <v>5</v>
      </c>
      <c r="T121" s="4">
        <v>6</v>
      </c>
      <c r="U121" s="4">
        <v>8</v>
      </c>
      <c r="V121" s="4">
        <v>5</v>
      </c>
      <c r="W121" s="18" t="s">
        <v>458</v>
      </c>
      <c r="X121" s="5" t="s">
        <v>149</v>
      </c>
      <c r="Y121" s="4">
        <f t="shared" si="11"/>
        <v>141</v>
      </c>
    </row>
    <row r="122" spans="2:25" ht="12" customHeight="1" x14ac:dyDescent="0.15">
      <c r="B122" s="4">
        <v>141</v>
      </c>
      <c r="C122" s="14" t="str">
        <f t="shared" si="8"/>
        <v>Federation</v>
      </c>
      <c r="D122" s="3" t="s">
        <v>31</v>
      </c>
      <c r="E122" s="14">
        <f t="shared" si="12"/>
        <v>8</v>
      </c>
      <c r="F122" s="4">
        <v>4</v>
      </c>
      <c r="H122" s="4">
        <f t="shared" si="10"/>
        <v>12</v>
      </c>
      <c r="I122" s="4" t="str">
        <f t="shared" si="13"/>
        <v/>
      </c>
      <c r="J122" s="4" t="s">
        <v>17</v>
      </c>
      <c r="K122" s="16" t="s">
        <v>176</v>
      </c>
      <c r="L122" s="13"/>
      <c r="M122" s="13"/>
      <c r="N122" s="13" t="s">
        <v>547</v>
      </c>
      <c r="O122" s="4" t="str">
        <f t="shared" si="9"/>
        <v/>
      </c>
      <c r="P122" s="4">
        <v>3</v>
      </c>
      <c r="W122" s="3" t="s">
        <v>298</v>
      </c>
      <c r="X122" s="3" t="s">
        <v>300</v>
      </c>
      <c r="Y122" s="4">
        <f t="shared" si="11"/>
        <v>141</v>
      </c>
    </row>
    <row r="123" spans="2:25" ht="12" customHeight="1" x14ac:dyDescent="0.15">
      <c r="B123" s="4">
        <v>142</v>
      </c>
      <c r="C123" s="14" t="str">
        <f t="shared" si="8"/>
        <v>Romulan</v>
      </c>
      <c r="D123" s="3" t="s">
        <v>210</v>
      </c>
      <c r="E123" s="14">
        <f t="shared" si="12"/>
        <v>7</v>
      </c>
      <c r="F123" s="4">
        <v>1</v>
      </c>
      <c r="G123" s="4">
        <v>2</v>
      </c>
      <c r="H123" s="4">
        <f t="shared" si="10"/>
        <v>10</v>
      </c>
      <c r="I123" s="4" t="str">
        <f t="shared" si="13"/>
        <v/>
      </c>
      <c r="J123" s="4" t="s">
        <v>17</v>
      </c>
      <c r="K123" s="4" t="s">
        <v>7</v>
      </c>
      <c r="L123" s="16" t="s">
        <v>553</v>
      </c>
      <c r="N123" s="16" t="s">
        <v>555</v>
      </c>
      <c r="O123" s="4" t="str">
        <f t="shared" si="9"/>
        <v>Y</v>
      </c>
      <c r="P123" s="4">
        <v>7</v>
      </c>
      <c r="Q123" s="4">
        <v>4</v>
      </c>
      <c r="R123" s="4">
        <v>2</v>
      </c>
      <c r="S123" s="4" t="s">
        <v>421</v>
      </c>
      <c r="T123" s="4" t="s">
        <v>414</v>
      </c>
      <c r="U123" s="4" t="s">
        <v>408</v>
      </c>
      <c r="W123" s="3" t="s">
        <v>172</v>
      </c>
      <c r="X123" s="3" t="s">
        <v>364</v>
      </c>
      <c r="Y123" s="4">
        <f t="shared" si="11"/>
        <v>142</v>
      </c>
    </row>
    <row r="124" spans="2:25" ht="12" customHeight="1" x14ac:dyDescent="0.15">
      <c r="B124" s="4">
        <v>142</v>
      </c>
      <c r="C124" s="14" t="str">
        <f t="shared" si="8"/>
        <v>Romulan</v>
      </c>
      <c r="D124" s="3" t="s">
        <v>197</v>
      </c>
      <c r="E124" s="14">
        <f t="shared" si="12"/>
        <v>7</v>
      </c>
      <c r="F124" s="4">
        <v>1</v>
      </c>
      <c r="G124" s="4">
        <v>2</v>
      </c>
      <c r="H124" s="4">
        <f t="shared" si="10"/>
        <v>10</v>
      </c>
      <c r="I124" s="4" t="str">
        <f t="shared" si="13"/>
        <v/>
      </c>
      <c r="J124" s="4" t="s">
        <v>17</v>
      </c>
      <c r="K124" s="4" t="s">
        <v>354</v>
      </c>
      <c r="O124" s="4" t="str">
        <f t="shared" si="9"/>
        <v>Y</v>
      </c>
      <c r="P124" s="4">
        <v>20</v>
      </c>
      <c r="Q124" s="4">
        <v>5</v>
      </c>
      <c r="R124" s="4">
        <v>5</v>
      </c>
      <c r="S124" s="4">
        <v>5</v>
      </c>
      <c r="T124" s="4">
        <v>4</v>
      </c>
      <c r="U124" s="4">
        <v>5</v>
      </c>
      <c r="V124" s="4">
        <v>5</v>
      </c>
      <c r="W124" s="18" t="s">
        <v>477</v>
      </c>
      <c r="X124" s="3" t="s">
        <v>387</v>
      </c>
      <c r="Y124" s="4">
        <f t="shared" si="11"/>
        <v>142</v>
      </c>
    </row>
    <row r="125" spans="2:25" ht="12" customHeight="1" x14ac:dyDescent="0.15">
      <c r="B125" s="4">
        <v>142</v>
      </c>
      <c r="C125" s="14" t="str">
        <f t="shared" si="8"/>
        <v>Romulan</v>
      </c>
      <c r="D125" s="3" t="s">
        <v>27</v>
      </c>
      <c r="E125" s="14">
        <f t="shared" si="12"/>
        <v>7</v>
      </c>
      <c r="F125" s="4">
        <v>2</v>
      </c>
      <c r="H125" s="4">
        <f t="shared" si="10"/>
        <v>9</v>
      </c>
      <c r="I125" s="4" t="str">
        <f t="shared" si="13"/>
        <v/>
      </c>
      <c r="J125" s="4" t="s">
        <v>17</v>
      </c>
      <c r="K125" s="16" t="s">
        <v>176</v>
      </c>
      <c r="L125" s="16"/>
      <c r="M125" s="16"/>
      <c r="N125" s="16"/>
      <c r="O125" s="4" t="str">
        <f t="shared" si="9"/>
        <v/>
      </c>
      <c r="P125" s="4">
        <v>6</v>
      </c>
      <c r="W125" s="3" t="s">
        <v>176</v>
      </c>
      <c r="X125" s="3" t="s">
        <v>27</v>
      </c>
      <c r="Y125" s="4">
        <f t="shared" si="11"/>
        <v>142</v>
      </c>
    </row>
    <row r="126" spans="2:25" ht="12" customHeight="1" x14ac:dyDescent="0.15">
      <c r="B126" s="4">
        <v>143</v>
      </c>
      <c r="C126" s="14" t="str">
        <f t="shared" si="8"/>
        <v>Romulan</v>
      </c>
      <c r="D126" s="3" t="s">
        <v>44</v>
      </c>
      <c r="E126" s="14">
        <f t="shared" si="12"/>
        <v>7</v>
      </c>
      <c r="F126" s="4">
        <v>1</v>
      </c>
      <c r="G126" s="4">
        <v>1</v>
      </c>
      <c r="H126" s="4">
        <f t="shared" si="10"/>
        <v>9</v>
      </c>
      <c r="I126" s="4" t="str">
        <f t="shared" si="13"/>
        <v/>
      </c>
      <c r="J126" s="4" t="s">
        <v>17</v>
      </c>
      <c r="K126" s="4" t="s">
        <v>7</v>
      </c>
      <c r="M126" s="16" t="s">
        <v>565</v>
      </c>
      <c r="N126" s="16" t="s">
        <v>566</v>
      </c>
      <c r="O126" s="4" t="str">
        <f t="shared" si="9"/>
        <v>Y</v>
      </c>
      <c r="P126" s="4">
        <v>7</v>
      </c>
      <c r="Q126" s="4">
        <v>4</v>
      </c>
      <c r="R126" s="4">
        <v>0</v>
      </c>
      <c r="S126" s="4" t="s">
        <v>414</v>
      </c>
      <c r="T126" s="4" t="s">
        <v>409</v>
      </c>
      <c r="U126" s="4" t="s">
        <v>143</v>
      </c>
      <c r="W126" s="3" t="s">
        <v>224</v>
      </c>
      <c r="X126" s="3" t="s">
        <v>223</v>
      </c>
      <c r="Y126" s="4">
        <f t="shared" si="11"/>
        <v>143</v>
      </c>
    </row>
    <row r="127" spans="2:25" ht="12" customHeight="1" x14ac:dyDescent="0.15">
      <c r="B127" s="4">
        <v>143</v>
      </c>
      <c r="C127" s="14" t="str">
        <f t="shared" si="8"/>
        <v>Romulan</v>
      </c>
      <c r="D127" s="3" t="s">
        <v>201</v>
      </c>
      <c r="E127" s="14">
        <f t="shared" si="12"/>
        <v>7</v>
      </c>
      <c r="F127" s="4">
        <v>1</v>
      </c>
      <c r="G127" s="4">
        <v>1</v>
      </c>
      <c r="H127" s="4">
        <f t="shared" si="10"/>
        <v>9</v>
      </c>
      <c r="I127" s="4" t="str">
        <f t="shared" si="13"/>
        <v/>
      </c>
      <c r="J127" s="4" t="s">
        <v>17</v>
      </c>
      <c r="K127" s="4" t="s">
        <v>354</v>
      </c>
      <c r="O127" s="4" t="str">
        <f t="shared" si="9"/>
        <v>Y</v>
      </c>
      <c r="P127" s="4">
        <v>21</v>
      </c>
      <c r="Q127" s="4">
        <v>6</v>
      </c>
      <c r="R127" s="4">
        <v>5</v>
      </c>
      <c r="S127" s="4">
        <v>4</v>
      </c>
      <c r="T127" s="4">
        <v>5</v>
      </c>
      <c r="U127" s="4">
        <v>6</v>
      </c>
      <c r="V127" s="4">
        <v>5</v>
      </c>
      <c r="W127" s="18" t="s">
        <v>476</v>
      </c>
      <c r="X127" s="3" t="s">
        <v>196</v>
      </c>
      <c r="Y127" s="4">
        <f t="shared" si="11"/>
        <v>143</v>
      </c>
    </row>
    <row r="128" spans="2:25" ht="12" customHeight="1" x14ac:dyDescent="0.15">
      <c r="B128" s="4">
        <v>143</v>
      </c>
      <c r="C128" s="14" t="str">
        <f t="shared" si="8"/>
        <v>Romulan</v>
      </c>
      <c r="D128" s="3" t="s">
        <v>43</v>
      </c>
      <c r="E128" s="14">
        <f t="shared" si="12"/>
        <v>7</v>
      </c>
      <c r="F128" s="4">
        <v>2</v>
      </c>
      <c r="H128" s="4">
        <f t="shared" si="10"/>
        <v>9</v>
      </c>
      <c r="I128" s="4" t="str">
        <f t="shared" si="13"/>
        <v/>
      </c>
      <c r="J128" s="4" t="s">
        <v>17</v>
      </c>
      <c r="K128" s="16" t="s">
        <v>176</v>
      </c>
      <c r="L128" s="16"/>
      <c r="M128" s="16"/>
      <c r="N128" s="16" t="s">
        <v>546</v>
      </c>
      <c r="O128" s="4" t="str">
        <f t="shared" si="9"/>
        <v/>
      </c>
      <c r="P128" s="4">
        <v>4</v>
      </c>
      <c r="W128" s="3" t="s">
        <v>231</v>
      </c>
      <c r="X128" s="5" t="s">
        <v>230</v>
      </c>
      <c r="Y128" s="4">
        <f t="shared" si="11"/>
        <v>143</v>
      </c>
    </row>
    <row r="129" spans="2:25" ht="12" customHeight="1" x14ac:dyDescent="0.15">
      <c r="B129" s="4">
        <v>144</v>
      </c>
      <c r="C129" s="14" t="str">
        <f t="shared" si="8"/>
        <v>Ferengi</v>
      </c>
      <c r="D129" s="3" t="s">
        <v>38</v>
      </c>
      <c r="E129" s="14">
        <f t="shared" si="12"/>
        <v>8</v>
      </c>
      <c r="F129" s="4">
        <v>1</v>
      </c>
      <c r="G129" s="4">
        <v>3</v>
      </c>
      <c r="H129" s="4">
        <f t="shared" si="10"/>
        <v>12</v>
      </c>
      <c r="I129" s="4" t="str">
        <f t="shared" si="13"/>
        <v/>
      </c>
      <c r="J129" s="4" t="s">
        <v>17</v>
      </c>
      <c r="K129" s="4" t="s">
        <v>7</v>
      </c>
      <c r="L129" s="16" t="s">
        <v>553</v>
      </c>
      <c r="M129" s="16"/>
      <c r="N129" s="16" t="s">
        <v>556</v>
      </c>
      <c r="O129" s="4" t="str">
        <f t="shared" si="9"/>
        <v>Y</v>
      </c>
      <c r="P129" s="4">
        <v>8</v>
      </c>
      <c r="Q129" s="4">
        <v>5</v>
      </c>
      <c r="R129" s="4">
        <v>0</v>
      </c>
      <c r="S129" s="4" t="s">
        <v>417</v>
      </c>
      <c r="T129" s="4" t="s">
        <v>414</v>
      </c>
      <c r="U129" s="4" t="s">
        <v>409</v>
      </c>
      <c r="W129" s="3" t="s">
        <v>204</v>
      </c>
      <c r="X129" s="3" t="s">
        <v>182</v>
      </c>
      <c r="Y129" s="4">
        <f t="shared" si="11"/>
        <v>144</v>
      </c>
    </row>
    <row r="130" spans="2:25" ht="12" customHeight="1" x14ac:dyDescent="0.15">
      <c r="B130" s="4">
        <v>144</v>
      </c>
      <c r="C130" s="14" t="str">
        <f t="shared" ref="C130:C193" si="14">VLOOKUP(B130,FLATNUM,5,FALSE)</f>
        <v>Ferengi</v>
      </c>
      <c r="D130" s="3" t="s">
        <v>36</v>
      </c>
      <c r="E130" s="14">
        <f t="shared" si="12"/>
        <v>8</v>
      </c>
      <c r="F130" s="4">
        <v>1</v>
      </c>
      <c r="G130" s="4">
        <v>3</v>
      </c>
      <c r="H130" s="4">
        <f t="shared" si="10"/>
        <v>12</v>
      </c>
      <c r="I130" s="4" t="str">
        <f t="shared" si="13"/>
        <v/>
      </c>
      <c r="J130" s="4" t="s">
        <v>17</v>
      </c>
      <c r="K130" s="4" t="s">
        <v>354</v>
      </c>
      <c r="O130" s="4" t="str">
        <f t="shared" ref="O130:O193" si="15">IF(IFERROR(SEARCH("unique",W130),-1)=-1,"","Y")</f>
        <v>Y</v>
      </c>
      <c r="P130" s="4">
        <v>16</v>
      </c>
      <c r="Q130" s="4">
        <v>5</v>
      </c>
      <c r="R130" s="4">
        <v>4</v>
      </c>
      <c r="S130" s="4">
        <v>4</v>
      </c>
      <c r="T130" s="4">
        <v>4</v>
      </c>
      <c r="U130" s="4">
        <v>5</v>
      </c>
      <c r="V130" s="4">
        <v>5</v>
      </c>
      <c r="W130" s="18" t="s">
        <v>465</v>
      </c>
      <c r="X130" s="3" t="s">
        <v>335</v>
      </c>
      <c r="Y130" s="4">
        <f t="shared" si="11"/>
        <v>144</v>
      </c>
    </row>
    <row r="131" spans="2:25" ht="12" customHeight="1" x14ac:dyDescent="0.15">
      <c r="B131" s="4">
        <v>144</v>
      </c>
      <c r="C131" s="14" t="str">
        <f t="shared" si="14"/>
        <v>Ferengi</v>
      </c>
      <c r="D131" s="3" t="s">
        <v>37</v>
      </c>
      <c r="E131" s="14">
        <f t="shared" si="12"/>
        <v>8</v>
      </c>
      <c r="F131" s="4">
        <v>4</v>
      </c>
      <c r="H131" s="4">
        <f t="shared" ref="H131:H194" si="16">E131+F131+G131</f>
        <v>12</v>
      </c>
      <c r="I131" s="4" t="str">
        <f t="shared" si="13"/>
        <v/>
      </c>
      <c r="J131" s="4" t="s">
        <v>17</v>
      </c>
      <c r="K131" s="16" t="s">
        <v>176</v>
      </c>
      <c r="L131" s="16"/>
      <c r="M131" s="16"/>
      <c r="N131" s="16" t="s">
        <v>550</v>
      </c>
      <c r="O131" s="4" t="str">
        <f t="shared" si="15"/>
        <v/>
      </c>
      <c r="P131" s="4">
        <v>4</v>
      </c>
      <c r="W131" s="3" t="s">
        <v>205</v>
      </c>
      <c r="X131" s="5" t="s">
        <v>260</v>
      </c>
      <c r="Y131" s="4">
        <f t="shared" ref="Y131:Y194" si="17">B131</f>
        <v>144</v>
      </c>
    </row>
    <row r="132" spans="2:25" ht="12" customHeight="1" x14ac:dyDescent="0.15">
      <c r="B132" s="4">
        <v>145</v>
      </c>
      <c r="C132" s="14" t="str">
        <f t="shared" si="14"/>
        <v>Ferengi</v>
      </c>
      <c r="D132" s="3" t="s">
        <v>39</v>
      </c>
      <c r="E132" s="14">
        <f t="shared" si="12"/>
        <v>9</v>
      </c>
      <c r="F132" s="4">
        <v>1</v>
      </c>
      <c r="G132" s="4">
        <v>3</v>
      </c>
      <c r="H132" s="4">
        <f t="shared" si="16"/>
        <v>13</v>
      </c>
      <c r="I132" s="4" t="str">
        <f t="shared" si="13"/>
        <v/>
      </c>
      <c r="J132" s="4" t="s">
        <v>17</v>
      </c>
      <c r="K132" s="4" t="s">
        <v>356</v>
      </c>
      <c r="O132" s="4" t="str">
        <f t="shared" si="15"/>
        <v>Y</v>
      </c>
      <c r="P132" s="4">
        <v>22</v>
      </c>
      <c r="Q132" s="4">
        <v>6</v>
      </c>
      <c r="R132" s="4">
        <v>6</v>
      </c>
      <c r="S132" s="4">
        <v>6</v>
      </c>
      <c r="T132" s="4">
        <v>5</v>
      </c>
      <c r="U132" s="4">
        <v>9</v>
      </c>
      <c r="V132" s="4">
        <v>4</v>
      </c>
      <c r="W132" s="18" t="s">
        <v>462</v>
      </c>
      <c r="X132" s="5" t="s">
        <v>149</v>
      </c>
      <c r="Y132" s="4">
        <f t="shared" si="17"/>
        <v>145</v>
      </c>
    </row>
    <row r="133" spans="2:25" ht="12" customHeight="1" x14ac:dyDescent="0.15">
      <c r="B133" s="4">
        <v>146</v>
      </c>
      <c r="C133" s="14" t="str">
        <f t="shared" si="14"/>
        <v>Klingon</v>
      </c>
      <c r="D133" s="3" t="s">
        <v>400</v>
      </c>
      <c r="E133" s="14">
        <f t="shared" si="12"/>
        <v>6</v>
      </c>
      <c r="F133" s="4">
        <v>1</v>
      </c>
      <c r="H133" s="4">
        <f t="shared" si="16"/>
        <v>7</v>
      </c>
      <c r="I133" s="4" t="str">
        <f t="shared" si="13"/>
        <v/>
      </c>
      <c r="J133" s="4" t="s">
        <v>17</v>
      </c>
      <c r="K133" s="4" t="s">
        <v>356</v>
      </c>
      <c r="O133" s="4" t="str">
        <f t="shared" si="15"/>
        <v>Y</v>
      </c>
      <c r="P133" s="4">
        <v>23</v>
      </c>
      <c r="Q133" s="4">
        <v>7</v>
      </c>
      <c r="R133" s="4">
        <v>6</v>
      </c>
      <c r="S133" s="4">
        <v>7</v>
      </c>
      <c r="T133" s="4">
        <v>6</v>
      </c>
      <c r="U133" s="4">
        <v>9</v>
      </c>
      <c r="V133" s="4">
        <v>4</v>
      </c>
      <c r="W133" s="66" t="s">
        <v>467</v>
      </c>
      <c r="X133" s="5" t="s">
        <v>149</v>
      </c>
      <c r="Y133" s="4">
        <f t="shared" si="17"/>
        <v>146</v>
      </c>
    </row>
    <row r="134" spans="2:25" ht="12" customHeight="1" x14ac:dyDescent="0.15">
      <c r="B134" s="4">
        <v>147</v>
      </c>
      <c r="C134" s="14" t="str">
        <f t="shared" si="14"/>
        <v>Federation</v>
      </c>
      <c r="D134" s="3" t="s">
        <v>345</v>
      </c>
      <c r="E134" s="14">
        <f t="shared" si="12"/>
        <v>5</v>
      </c>
      <c r="F134" s="4">
        <v>4</v>
      </c>
      <c r="H134" s="4">
        <f t="shared" si="16"/>
        <v>9</v>
      </c>
      <c r="I134" s="4" t="str">
        <f t="shared" si="13"/>
        <v/>
      </c>
      <c r="J134" s="4" t="s">
        <v>17</v>
      </c>
      <c r="K134" s="4" t="s">
        <v>7</v>
      </c>
      <c r="N134" s="16" t="s">
        <v>179</v>
      </c>
      <c r="O134" s="4" t="str">
        <f t="shared" si="15"/>
        <v/>
      </c>
      <c r="P134" s="4">
        <v>2</v>
      </c>
      <c r="Q134" s="4">
        <v>2</v>
      </c>
      <c r="R134" s="4">
        <v>1</v>
      </c>
      <c r="S134" s="4" t="s">
        <v>143</v>
      </c>
      <c r="T134" s="4" t="s">
        <v>143</v>
      </c>
      <c r="U134" s="4" t="s">
        <v>143</v>
      </c>
      <c r="W134" s="3" t="s">
        <v>179</v>
      </c>
      <c r="X134" s="3" t="s">
        <v>214</v>
      </c>
      <c r="Y134" s="4">
        <f t="shared" si="17"/>
        <v>147</v>
      </c>
    </row>
    <row r="135" spans="2:25" ht="12" customHeight="1" x14ac:dyDescent="0.15">
      <c r="B135" s="4">
        <v>147</v>
      </c>
      <c r="C135" s="14" t="str">
        <f t="shared" si="14"/>
        <v>Federation</v>
      </c>
      <c r="D135" s="3" t="s">
        <v>325</v>
      </c>
      <c r="E135" s="14">
        <f t="shared" si="12"/>
        <v>5</v>
      </c>
      <c r="F135" s="4">
        <v>1</v>
      </c>
      <c r="G135" s="4">
        <v>4</v>
      </c>
      <c r="H135" s="4">
        <f t="shared" si="16"/>
        <v>10</v>
      </c>
      <c r="I135" s="4" t="str">
        <f t="shared" si="13"/>
        <v/>
      </c>
      <c r="J135" s="4" t="s">
        <v>17</v>
      </c>
      <c r="K135" s="4" t="s">
        <v>7</v>
      </c>
      <c r="L135" s="16" t="s">
        <v>553</v>
      </c>
      <c r="M135" s="16"/>
      <c r="N135" s="16" t="s">
        <v>171</v>
      </c>
      <c r="O135" s="4" t="str">
        <f t="shared" si="15"/>
        <v>Y</v>
      </c>
      <c r="P135" s="4">
        <v>6</v>
      </c>
      <c r="Q135" s="4">
        <v>4</v>
      </c>
      <c r="R135" s="4">
        <v>3</v>
      </c>
      <c r="S135" s="4" t="s">
        <v>421</v>
      </c>
      <c r="T135" s="4" t="s">
        <v>414</v>
      </c>
      <c r="U135" s="4" t="s">
        <v>411</v>
      </c>
      <c r="W135" s="3" t="s">
        <v>328</v>
      </c>
      <c r="X135" s="3" t="s">
        <v>327</v>
      </c>
      <c r="Y135" s="4">
        <f t="shared" si="17"/>
        <v>147</v>
      </c>
    </row>
    <row r="136" spans="2:25" ht="12" customHeight="1" x14ac:dyDescent="0.15">
      <c r="B136" s="4">
        <v>147</v>
      </c>
      <c r="C136" s="14" t="str">
        <f t="shared" si="14"/>
        <v>Federation</v>
      </c>
      <c r="D136" s="3" t="s">
        <v>324</v>
      </c>
      <c r="E136" s="14">
        <f t="shared" si="12"/>
        <v>5</v>
      </c>
      <c r="F136" s="4">
        <v>4</v>
      </c>
      <c r="H136" s="4">
        <f t="shared" si="16"/>
        <v>9</v>
      </c>
      <c r="I136" s="4" t="str">
        <f t="shared" si="13"/>
        <v/>
      </c>
      <c r="J136" s="4" t="s">
        <v>17</v>
      </c>
      <c r="K136" s="4" t="s">
        <v>7</v>
      </c>
      <c r="L136" s="16" t="s">
        <v>137</v>
      </c>
      <c r="M136" s="16"/>
      <c r="N136" s="16" t="s">
        <v>319</v>
      </c>
      <c r="O136" s="4" t="str">
        <f t="shared" si="15"/>
        <v/>
      </c>
      <c r="P136" s="4">
        <v>2</v>
      </c>
      <c r="Q136" s="4">
        <v>2</v>
      </c>
      <c r="R136" s="4">
        <v>1</v>
      </c>
      <c r="S136" s="4" t="s">
        <v>143</v>
      </c>
      <c r="T136" s="4" t="s">
        <v>143</v>
      </c>
      <c r="U136" s="4" t="s">
        <v>143</v>
      </c>
      <c r="W136" s="3" t="s">
        <v>216</v>
      </c>
      <c r="X136" s="3" t="s">
        <v>326</v>
      </c>
      <c r="Y136" s="4">
        <f t="shared" si="17"/>
        <v>147</v>
      </c>
    </row>
    <row r="137" spans="2:25" ht="12" customHeight="1" x14ac:dyDescent="0.15">
      <c r="B137" s="4">
        <v>147</v>
      </c>
      <c r="C137" s="14" t="str">
        <f t="shared" si="14"/>
        <v>Federation</v>
      </c>
      <c r="D137" s="3" t="s">
        <v>192</v>
      </c>
      <c r="E137" s="14">
        <f t="shared" si="12"/>
        <v>5</v>
      </c>
      <c r="F137" s="4">
        <v>1</v>
      </c>
      <c r="G137" s="4">
        <v>3</v>
      </c>
      <c r="H137" s="4">
        <f t="shared" si="16"/>
        <v>9</v>
      </c>
      <c r="I137" s="4" t="str">
        <f t="shared" si="13"/>
        <v/>
      </c>
      <c r="J137" s="4" t="s">
        <v>17</v>
      </c>
      <c r="K137" s="4" t="s">
        <v>355</v>
      </c>
      <c r="O137" s="4" t="str">
        <f t="shared" si="15"/>
        <v>Y</v>
      </c>
      <c r="P137" s="4">
        <v>12</v>
      </c>
      <c r="Q137" s="4">
        <v>4</v>
      </c>
      <c r="R137" s="4">
        <v>4</v>
      </c>
      <c r="S137" s="4">
        <v>3</v>
      </c>
      <c r="T137" s="4">
        <v>3</v>
      </c>
      <c r="U137" s="4">
        <v>3</v>
      </c>
      <c r="V137" s="4">
        <v>6</v>
      </c>
      <c r="W137" s="18" t="s">
        <v>455</v>
      </c>
      <c r="X137" s="3" t="s">
        <v>193</v>
      </c>
      <c r="Y137" s="4">
        <f t="shared" si="17"/>
        <v>147</v>
      </c>
    </row>
    <row r="138" spans="2:25" ht="12" customHeight="1" x14ac:dyDescent="0.15">
      <c r="B138" s="4">
        <v>148</v>
      </c>
      <c r="C138" s="14" t="str">
        <f t="shared" si="14"/>
        <v>Ferengi</v>
      </c>
      <c r="D138" s="3" t="s">
        <v>425</v>
      </c>
      <c r="E138" s="14">
        <f t="shared" si="12"/>
        <v>6</v>
      </c>
      <c r="F138" s="4">
        <v>1</v>
      </c>
      <c r="G138" s="4">
        <v>8</v>
      </c>
      <c r="H138" s="4">
        <f t="shared" si="16"/>
        <v>15</v>
      </c>
      <c r="I138" s="4" t="str">
        <f t="shared" si="13"/>
        <v/>
      </c>
      <c r="J138" s="4" t="s">
        <v>17</v>
      </c>
      <c r="K138" s="4" t="s">
        <v>7</v>
      </c>
      <c r="L138" s="16" t="s">
        <v>553</v>
      </c>
      <c r="M138" s="16"/>
      <c r="N138" s="16" t="s">
        <v>557</v>
      </c>
      <c r="O138" s="4" t="str">
        <f t="shared" si="15"/>
        <v>Y</v>
      </c>
      <c r="P138" s="4">
        <v>9</v>
      </c>
      <c r="Q138" s="4">
        <v>7</v>
      </c>
      <c r="R138" s="4">
        <v>0</v>
      </c>
      <c r="S138" s="4" t="s">
        <v>418</v>
      </c>
      <c r="T138" s="4" t="s">
        <v>420</v>
      </c>
      <c r="U138" s="4" t="s">
        <v>411</v>
      </c>
      <c r="W138" s="3" t="s">
        <v>141</v>
      </c>
      <c r="X138" s="3" t="s">
        <v>430</v>
      </c>
      <c r="Y138" s="4">
        <f t="shared" si="17"/>
        <v>148</v>
      </c>
    </row>
    <row r="139" spans="2:25" ht="12" customHeight="1" x14ac:dyDescent="0.15">
      <c r="B139" s="4">
        <v>148</v>
      </c>
      <c r="C139" s="14" t="str">
        <f t="shared" si="14"/>
        <v>Ferengi</v>
      </c>
      <c r="D139" s="3" t="s">
        <v>396</v>
      </c>
      <c r="E139" s="14">
        <f t="shared" si="12"/>
        <v>6</v>
      </c>
      <c r="F139" s="4">
        <v>1</v>
      </c>
      <c r="G139" s="4">
        <v>8</v>
      </c>
      <c r="H139" s="4">
        <f t="shared" si="16"/>
        <v>15</v>
      </c>
      <c r="I139" s="4" t="str">
        <f t="shared" si="13"/>
        <v/>
      </c>
      <c r="J139" s="4" t="s">
        <v>17</v>
      </c>
      <c r="K139" s="4" t="s">
        <v>355</v>
      </c>
      <c r="O139" s="4" t="str">
        <f t="shared" si="15"/>
        <v>Y</v>
      </c>
      <c r="P139" s="4">
        <v>11</v>
      </c>
      <c r="Q139" s="4">
        <v>3</v>
      </c>
      <c r="R139" s="4">
        <v>4</v>
      </c>
      <c r="S139" s="4">
        <v>3</v>
      </c>
      <c r="T139" s="4">
        <v>3</v>
      </c>
      <c r="U139" s="4">
        <v>3</v>
      </c>
      <c r="V139" s="4">
        <v>6</v>
      </c>
      <c r="W139" s="18" t="s">
        <v>463</v>
      </c>
      <c r="X139" s="3" t="s">
        <v>426</v>
      </c>
      <c r="Y139" s="4">
        <f t="shared" si="17"/>
        <v>148</v>
      </c>
    </row>
    <row r="140" spans="2:25" ht="12" customHeight="1" x14ac:dyDescent="0.15">
      <c r="B140" s="4">
        <v>148</v>
      </c>
      <c r="C140" s="14" t="str">
        <f t="shared" si="14"/>
        <v>Ferengi</v>
      </c>
      <c r="D140" s="3" t="s">
        <v>398</v>
      </c>
      <c r="E140" s="14">
        <f t="shared" si="12"/>
        <v>6</v>
      </c>
      <c r="F140" s="4">
        <v>5</v>
      </c>
      <c r="G140" s="4">
        <v>4</v>
      </c>
      <c r="H140" s="4">
        <f t="shared" si="16"/>
        <v>15</v>
      </c>
      <c r="I140" s="4" t="str">
        <f t="shared" si="13"/>
        <v/>
      </c>
      <c r="J140" s="4" t="s">
        <v>17</v>
      </c>
      <c r="K140" s="16" t="s">
        <v>176</v>
      </c>
      <c r="L140" s="16"/>
      <c r="M140" s="16"/>
      <c r="N140" s="16" t="s">
        <v>550</v>
      </c>
      <c r="O140" s="4" t="str">
        <f t="shared" si="15"/>
        <v/>
      </c>
      <c r="P140" s="4">
        <v>5</v>
      </c>
      <c r="W140" s="3" t="s">
        <v>205</v>
      </c>
      <c r="X140" s="5" t="s">
        <v>399</v>
      </c>
      <c r="Y140" s="4">
        <f t="shared" si="17"/>
        <v>148</v>
      </c>
    </row>
    <row r="141" spans="2:25" ht="12" customHeight="1" x14ac:dyDescent="0.15">
      <c r="B141" s="4">
        <v>148</v>
      </c>
      <c r="C141" s="14" t="str">
        <f t="shared" si="14"/>
        <v>Ferengi</v>
      </c>
      <c r="D141" s="3" t="s">
        <v>397</v>
      </c>
      <c r="E141" s="14">
        <f t="shared" si="12"/>
        <v>6</v>
      </c>
      <c r="F141" s="4">
        <v>5</v>
      </c>
      <c r="G141" s="4">
        <v>1</v>
      </c>
      <c r="H141" s="4">
        <f t="shared" si="16"/>
        <v>12</v>
      </c>
      <c r="I141" s="4" t="str">
        <f t="shared" si="13"/>
        <v/>
      </c>
      <c r="J141" s="4" t="s">
        <v>17</v>
      </c>
      <c r="K141" s="16" t="s">
        <v>257</v>
      </c>
      <c r="L141" s="16"/>
      <c r="M141" s="16"/>
      <c r="N141" s="16"/>
      <c r="O141" s="4" t="str">
        <f t="shared" si="15"/>
        <v/>
      </c>
      <c r="P141" s="4">
        <v>1</v>
      </c>
      <c r="W141" s="3" t="s">
        <v>257</v>
      </c>
      <c r="X141" s="5" t="s">
        <v>259</v>
      </c>
      <c r="Y141" s="4">
        <f t="shared" si="17"/>
        <v>148</v>
      </c>
    </row>
    <row r="142" spans="2:25" x14ac:dyDescent="0.15">
      <c r="B142" s="4">
        <v>149</v>
      </c>
      <c r="C142" s="14" t="str">
        <f t="shared" si="14"/>
        <v>Other</v>
      </c>
      <c r="D142" s="18" t="s">
        <v>490</v>
      </c>
      <c r="E142" s="14">
        <f t="shared" si="12"/>
        <v>11</v>
      </c>
      <c r="F142" s="4">
        <v>1</v>
      </c>
      <c r="H142" s="4">
        <f t="shared" si="16"/>
        <v>12</v>
      </c>
      <c r="I142" s="4" t="str">
        <f t="shared" si="13"/>
        <v/>
      </c>
      <c r="J142" s="4" t="s">
        <v>17</v>
      </c>
      <c r="K142" s="16" t="s">
        <v>22</v>
      </c>
      <c r="L142" s="16"/>
      <c r="M142" s="16"/>
      <c r="N142" s="16"/>
      <c r="O142" s="4" t="str">
        <f t="shared" si="15"/>
        <v/>
      </c>
      <c r="P142" s="4" t="s">
        <v>401</v>
      </c>
      <c r="W142" s="18" t="s">
        <v>401</v>
      </c>
      <c r="Y142" s="4">
        <f t="shared" si="17"/>
        <v>149</v>
      </c>
    </row>
    <row r="143" spans="2:25" x14ac:dyDescent="0.15">
      <c r="B143" s="4">
        <v>150</v>
      </c>
      <c r="C143" s="14" t="str">
        <f t="shared" si="14"/>
        <v>Other</v>
      </c>
      <c r="D143" s="18" t="s">
        <v>483</v>
      </c>
      <c r="E143" s="14">
        <f t="shared" si="12"/>
        <v>11</v>
      </c>
      <c r="F143" s="4">
        <v>1</v>
      </c>
      <c r="H143" s="4">
        <f t="shared" si="16"/>
        <v>12</v>
      </c>
      <c r="I143" s="4" t="str">
        <f t="shared" si="13"/>
        <v/>
      </c>
      <c r="J143" s="4" t="s">
        <v>17</v>
      </c>
      <c r="K143" s="16" t="s">
        <v>22</v>
      </c>
      <c r="L143" s="16"/>
      <c r="M143" s="16"/>
      <c r="N143" s="16"/>
      <c r="O143" s="4" t="str">
        <f t="shared" si="15"/>
        <v/>
      </c>
      <c r="P143" s="4" t="s">
        <v>401</v>
      </c>
      <c r="Q143" s="4">
        <v>5</v>
      </c>
      <c r="R143" s="4">
        <v>8</v>
      </c>
      <c r="S143" s="4">
        <v>5</v>
      </c>
      <c r="T143" s="4">
        <v>0</v>
      </c>
      <c r="U143" s="4">
        <v>5</v>
      </c>
      <c r="V143" s="4">
        <v>2</v>
      </c>
      <c r="W143" s="18" t="s">
        <v>401</v>
      </c>
      <c r="Y143" s="4">
        <f t="shared" si="17"/>
        <v>150</v>
      </c>
    </row>
    <row r="144" spans="2:25" x14ac:dyDescent="0.15">
      <c r="B144" s="4">
        <v>151</v>
      </c>
      <c r="C144" s="14" t="str">
        <f t="shared" si="14"/>
        <v>Other</v>
      </c>
      <c r="D144" s="18" t="s">
        <v>484</v>
      </c>
      <c r="E144" s="14">
        <f t="shared" si="12"/>
        <v>7</v>
      </c>
      <c r="F144" s="4">
        <v>1</v>
      </c>
      <c r="H144" s="4">
        <f t="shared" si="16"/>
        <v>8</v>
      </c>
      <c r="I144" s="4" t="str">
        <f t="shared" si="13"/>
        <v/>
      </c>
      <c r="J144" s="4" t="s">
        <v>17</v>
      </c>
      <c r="K144" s="16" t="s">
        <v>22</v>
      </c>
      <c r="L144" s="16"/>
      <c r="M144" s="16"/>
      <c r="N144" s="16"/>
      <c r="O144" s="4" t="str">
        <f t="shared" si="15"/>
        <v/>
      </c>
      <c r="P144" s="4" t="s">
        <v>401</v>
      </c>
      <c r="W144" s="18" t="s">
        <v>401</v>
      </c>
      <c r="Y144" s="4">
        <f t="shared" si="17"/>
        <v>151</v>
      </c>
    </row>
    <row r="145" spans="2:25" x14ac:dyDescent="0.15">
      <c r="B145" s="4">
        <v>152</v>
      </c>
      <c r="C145" s="14" t="str">
        <f t="shared" si="14"/>
        <v>Other</v>
      </c>
      <c r="D145" s="18" t="s">
        <v>492</v>
      </c>
      <c r="E145" s="14">
        <f t="shared" si="12"/>
        <v>9</v>
      </c>
      <c r="F145" s="4">
        <v>1</v>
      </c>
      <c r="H145" s="4">
        <f t="shared" si="16"/>
        <v>10</v>
      </c>
      <c r="I145" s="4" t="str">
        <f t="shared" si="13"/>
        <v/>
      </c>
      <c r="J145" s="4" t="s">
        <v>17</v>
      </c>
      <c r="K145" s="16" t="s">
        <v>22</v>
      </c>
      <c r="L145" s="16"/>
      <c r="M145" s="16"/>
      <c r="N145" s="16"/>
      <c r="O145" s="4" t="str">
        <f t="shared" si="15"/>
        <v/>
      </c>
      <c r="P145" s="4" t="s">
        <v>401</v>
      </c>
      <c r="Q145" s="4">
        <v>10</v>
      </c>
      <c r="R145" s="4">
        <v>6</v>
      </c>
      <c r="S145" s="4">
        <v>3</v>
      </c>
      <c r="T145" s="4">
        <v>0</v>
      </c>
      <c r="U145" s="4">
        <v>0</v>
      </c>
      <c r="V145" s="4">
        <v>0</v>
      </c>
      <c r="W145" s="18" t="s">
        <v>401</v>
      </c>
      <c r="Y145" s="4">
        <f t="shared" si="17"/>
        <v>152</v>
      </c>
    </row>
    <row r="146" spans="2:25" ht="12" customHeight="1" x14ac:dyDescent="0.15">
      <c r="B146" s="4">
        <v>153</v>
      </c>
      <c r="C146" s="14" t="str">
        <f t="shared" si="14"/>
        <v>Federation</v>
      </c>
      <c r="D146" s="3" t="s">
        <v>90</v>
      </c>
      <c r="E146" s="14">
        <f t="shared" si="12"/>
        <v>10</v>
      </c>
      <c r="F146" s="4">
        <v>1</v>
      </c>
      <c r="G146" s="4">
        <v>2</v>
      </c>
      <c r="H146" s="4">
        <f t="shared" si="16"/>
        <v>13</v>
      </c>
      <c r="I146" s="4" t="str">
        <f t="shared" si="13"/>
        <v/>
      </c>
      <c r="J146" s="4" t="s">
        <v>17</v>
      </c>
      <c r="K146" s="4" t="s">
        <v>7</v>
      </c>
      <c r="L146" s="16" t="s">
        <v>553</v>
      </c>
      <c r="M146" s="16"/>
      <c r="N146" s="16" t="s">
        <v>556</v>
      </c>
      <c r="O146" s="4" t="str">
        <f t="shared" si="15"/>
        <v>Y</v>
      </c>
      <c r="P146" s="4">
        <v>9</v>
      </c>
      <c r="Q146" s="4">
        <v>7</v>
      </c>
      <c r="R146" s="4">
        <v>1</v>
      </c>
      <c r="S146" s="4" t="s">
        <v>420</v>
      </c>
      <c r="T146" s="4" t="s">
        <v>413</v>
      </c>
      <c r="U146" s="4" t="s">
        <v>409</v>
      </c>
      <c r="W146" s="3" t="s">
        <v>204</v>
      </c>
      <c r="X146" s="3" t="s">
        <v>310</v>
      </c>
      <c r="Y146" s="4">
        <f t="shared" si="17"/>
        <v>153</v>
      </c>
    </row>
    <row r="147" spans="2:25" ht="12" customHeight="1" x14ac:dyDescent="0.15">
      <c r="B147" s="4">
        <v>153</v>
      </c>
      <c r="C147" s="14" t="str">
        <f t="shared" si="14"/>
        <v>Federation</v>
      </c>
      <c r="D147" s="3" t="s">
        <v>92</v>
      </c>
      <c r="E147" s="14">
        <f t="shared" si="12"/>
        <v>10</v>
      </c>
      <c r="F147" s="4">
        <v>4</v>
      </c>
      <c r="H147" s="4">
        <f t="shared" si="16"/>
        <v>14</v>
      </c>
      <c r="I147" s="4" t="str">
        <f t="shared" si="13"/>
        <v/>
      </c>
      <c r="J147" s="4" t="s">
        <v>17</v>
      </c>
      <c r="K147" s="4" t="s">
        <v>7</v>
      </c>
      <c r="L147" s="16" t="s">
        <v>137</v>
      </c>
      <c r="M147" s="16"/>
      <c r="O147" s="4" t="str">
        <f t="shared" si="15"/>
        <v/>
      </c>
      <c r="P147" s="4">
        <v>3</v>
      </c>
      <c r="Q147" s="4">
        <v>4</v>
      </c>
      <c r="R147" s="4">
        <v>3</v>
      </c>
      <c r="S147" s="4" t="s">
        <v>421</v>
      </c>
      <c r="T147" s="4" t="s">
        <v>414</v>
      </c>
      <c r="U147" s="4" t="s">
        <v>143</v>
      </c>
      <c r="W147" s="3" t="s">
        <v>137</v>
      </c>
      <c r="X147" s="3" t="s">
        <v>323</v>
      </c>
      <c r="Y147" s="4">
        <f t="shared" si="17"/>
        <v>153</v>
      </c>
    </row>
    <row r="148" spans="2:25" ht="12" customHeight="1" x14ac:dyDescent="0.15">
      <c r="B148" s="4">
        <v>153</v>
      </c>
      <c r="C148" s="14" t="str">
        <f t="shared" si="14"/>
        <v>Federation</v>
      </c>
      <c r="D148" s="3" t="s">
        <v>89</v>
      </c>
      <c r="E148" s="14">
        <f t="shared" si="12"/>
        <v>10</v>
      </c>
      <c r="F148" s="4">
        <v>5</v>
      </c>
      <c r="H148" s="4">
        <f t="shared" si="16"/>
        <v>15</v>
      </c>
      <c r="I148" s="4" t="str">
        <f t="shared" si="13"/>
        <v/>
      </c>
      <c r="J148" s="4" t="s">
        <v>17</v>
      </c>
      <c r="K148" s="16" t="s">
        <v>176</v>
      </c>
      <c r="L148" s="16"/>
      <c r="M148" s="16"/>
      <c r="N148" s="16" t="s">
        <v>8</v>
      </c>
      <c r="O148" s="4" t="str">
        <f t="shared" si="15"/>
        <v/>
      </c>
      <c r="P148" s="4">
        <v>2</v>
      </c>
      <c r="W148" s="3" t="s">
        <v>154</v>
      </c>
      <c r="X148" s="3" t="s">
        <v>229</v>
      </c>
      <c r="Y148" s="4">
        <f t="shared" si="17"/>
        <v>153</v>
      </c>
    </row>
    <row r="149" spans="2:25" ht="12" customHeight="1" x14ac:dyDescent="0.15">
      <c r="B149" s="4">
        <v>153</v>
      </c>
      <c r="C149" s="14" t="str">
        <f t="shared" si="14"/>
        <v>Federation</v>
      </c>
      <c r="D149" s="3" t="s">
        <v>91</v>
      </c>
      <c r="E149" s="14">
        <f t="shared" si="12"/>
        <v>10</v>
      </c>
      <c r="F149" s="4">
        <v>4</v>
      </c>
      <c r="H149" s="4">
        <f t="shared" si="16"/>
        <v>14</v>
      </c>
      <c r="I149" s="4" t="str">
        <f t="shared" si="13"/>
        <v/>
      </c>
      <c r="J149" s="4" t="s">
        <v>17</v>
      </c>
      <c r="K149" s="16" t="s">
        <v>176</v>
      </c>
      <c r="L149" s="16"/>
      <c r="M149" s="16"/>
      <c r="N149" s="16" t="s">
        <v>550</v>
      </c>
      <c r="O149" s="4" t="str">
        <f t="shared" si="15"/>
        <v/>
      </c>
      <c r="P149" s="4">
        <v>4</v>
      </c>
      <c r="W149" s="3" t="s">
        <v>205</v>
      </c>
      <c r="X149" s="3" t="s">
        <v>296</v>
      </c>
      <c r="Y149" s="4">
        <f t="shared" si="17"/>
        <v>153</v>
      </c>
    </row>
    <row r="150" spans="2:25" ht="12" customHeight="1" x14ac:dyDescent="0.15">
      <c r="B150" s="4">
        <v>154</v>
      </c>
      <c r="C150" s="14" t="str">
        <f t="shared" si="14"/>
        <v>Romulan</v>
      </c>
      <c r="D150" s="3" t="s">
        <v>59</v>
      </c>
      <c r="E150" s="14">
        <f t="shared" si="12"/>
        <v>9</v>
      </c>
      <c r="F150" s="4">
        <v>1</v>
      </c>
      <c r="H150" s="4">
        <f t="shared" si="16"/>
        <v>10</v>
      </c>
      <c r="I150" s="4" t="str">
        <f t="shared" si="13"/>
        <v/>
      </c>
      <c r="J150" s="4" t="s">
        <v>17</v>
      </c>
      <c r="K150" s="4" t="s">
        <v>7</v>
      </c>
      <c r="M150" s="16" t="s">
        <v>565</v>
      </c>
      <c r="O150" s="4" t="str">
        <f t="shared" si="15"/>
        <v>Y</v>
      </c>
      <c r="P150" s="4">
        <v>9</v>
      </c>
      <c r="Q150" s="4">
        <v>5</v>
      </c>
      <c r="R150" s="4">
        <v>1</v>
      </c>
      <c r="S150" s="4" t="s">
        <v>143</v>
      </c>
      <c r="T150" s="4" t="s">
        <v>143</v>
      </c>
      <c r="U150" s="4" t="s">
        <v>143</v>
      </c>
      <c r="W150" s="3" t="s">
        <v>212</v>
      </c>
      <c r="X150" s="3" t="s">
        <v>365</v>
      </c>
      <c r="Y150" s="4">
        <f t="shared" si="17"/>
        <v>154</v>
      </c>
    </row>
    <row r="151" spans="2:25" ht="12" customHeight="1" x14ac:dyDescent="0.15">
      <c r="B151" s="4">
        <v>154</v>
      </c>
      <c r="C151" s="14" t="str">
        <f t="shared" si="14"/>
        <v>Romulan</v>
      </c>
      <c r="D151" s="3" t="s">
        <v>60</v>
      </c>
      <c r="E151" s="14">
        <f t="shared" si="12"/>
        <v>9</v>
      </c>
      <c r="F151" s="4">
        <v>1</v>
      </c>
      <c r="H151" s="4">
        <f t="shared" si="16"/>
        <v>10</v>
      </c>
      <c r="I151" s="4" t="str">
        <f t="shared" si="13"/>
        <v/>
      </c>
      <c r="J151" s="4" t="s">
        <v>17</v>
      </c>
      <c r="K151" s="4" t="s">
        <v>7</v>
      </c>
      <c r="N151" s="16" t="s">
        <v>179</v>
      </c>
      <c r="O151" s="4" t="str">
        <f t="shared" si="15"/>
        <v/>
      </c>
      <c r="P151" s="4">
        <v>2</v>
      </c>
      <c r="Q151" s="4">
        <v>2</v>
      </c>
      <c r="R151" s="4">
        <v>1</v>
      </c>
      <c r="S151" s="4" t="s">
        <v>143</v>
      </c>
      <c r="T151" s="4" t="s">
        <v>143</v>
      </c>
      <c r="U151" s="4" t="s">
        <v>143</v>
      </c>
      <c r="W151" s="3" t="s">
        <v>179</v>
      </c>
      <c r="X151" s="3" t="s">
        <v>214</v>
      </c>
      <c r="Y151" s="4">
        <f t="shared" si="17"/>
        <v>154</v>
      </c>
    </row>
    <row r="152" spans="2:25" ht="12" customHeight="1" x14ac:dyDescent="0.15">
      <c r="B152" s="4">
        <v>154</v>
      </c>
      <c r="C152" s="14" t="str">
        <f t="shared" si="14"/>
        <v>Romulan</v>
      </c>
      <c r="D152" s="3" t="s">
        <v>61</v>
      </c>
      <c r="E152" s="14">
        <f t="shared" si="12"/>
        <v>9</v>
      </c>
      <c r="F152" s="4">
        <v>1</v>
      </c>
      <c r="H152" s="4">
        <f t="shared" si="16"/>
        <v>10</v>
      </c>
      <c r="I152" s="4" t="str">
        <f t="shared" si="13"/>
        <v/>
      </c>
      <c r="J152" s="4" t="s">
        <v>17</v>
      </c>
      <c r="K152" s="16" t="s">
        <v>176</v>
      </c>
      <c r="L152" s="16"/>
      <c r="M152" s="16"/>
      <c r="N152" s="16" t="s">
        <v>547</v>
      </c>
      <c r="O152" s="4" t="str">
        <f t="shared" si="15"/>
        <v/>
      </c>
      <c r="P152" s="4">
        <v>3</v>
      </c>
      <c r="W152" s="3" t="s">
        <v>227</v>
      </c>
      <c r="X152" s="3" t="s">
        <v>226</v>
      </c>
      <c r="Y152" s="4">
        <f t="shared" si="17"/>
        <v>154</v>
      </c>
    </row>
    <row r="153" spans="2:25" ht="12" customHeight="1" x14ac:dyDescent="0.15">
      <c r="B153" s="4">
        <v>154</v>
      </c>
      <c r="C153" s="14" t="str">
        <f t="shared" si="14"/>
        <v>Romulan</v>
      </c>
      <c r="D153" s="3" t="s">
        <v>58</v>
      </c>
      <c r="E153" s="14">
        <f t="shared" si="12"/>
        <v>9</v>
      </c>
      <c r="F153" s="4">
        <v>1</v>
      </c>
      <c r="H153" s="4">
        <f t="shared" si="16"/>
        <v>10</v>
      </c>
      <c r="I153" s="4" t="str">
        <f t="shared" si="13"/>
        <v/>
      </c>
      <c r="J153" s="4" t="s">
        <v>17</v>
      </c>
      <c r="K153" s="16" t="s">
        <v>176</v>
      </c>
      <c r="L153" s="16"/>
      <c r="M153" s="16"/>
      <c r="N153" s="16" t="s">
        <v>548</v>
      </c>
      <c r="O153" s="4" t="str">
        <f t="shared" si="15"/>
        <v/>
      </c>
      <c r="P153" s="4">
        <v>4</v>
      </c>
      <c r="W153" s="3" t="s">
        <v>228</v>
      </c>
      <c r="X153" s="3" t="s">
        <v>267</v>
      </c>
      <c r="Y153" s="4">
        <f t="shared" si="17"/>
        <v>154</v>
      </c>
    </row>
    <row r="154" spans="2:25" ht="12" customHeight="1" x14ac:dyDescent="0.15">
      <c r="B154" s="4">
        <v>155</v>
      </c>
      <c r="C154" s="14" t="str">
        <f t="shared" si="14"/>
        <v>Klingon</v>
      </c>
      <c r="D154" s="3" t="s">
        <v>275</v>
      </c>
      <c r="E154" s="14">
        <f t="shared" ref="E154:E217" si="18">VLOOKUP(B154,FLATNUM,6,FALSE)</f>
        <v>4</v>
      </c>
      <c r="F154" s="4">
        <v>1</v>
      </c>
      <c r="H154" s="4">
        <f t="shared" si="16"/>
        <v>5</v>
      </c>
      <c r="I154" s="4" t="str">
        <f t="shared" si="13"/>
        <v/>
      </c>
      <c r="J154" s="4" t="s">
        <v>17</v>
      </c>
      <c r="K154" s="4" t="s">
        <v>7</v>
      </c>
      <c r="L154" s="16" t="s">
        <v>137</v>
      </c>
      <c r="M154" s="16"/>
      <c r="O154" s="4" t="str">
        <f t="shared" si="15"/>
        <v>Y</v>
      </c>
      <c r="P154" s="4">
        <v>4</v>
      </c>
      <c r="Q154" s="4">
        <v>2</v>
      </c>
      <c r="R154" s="4">
        <v>4</v>
      </c>
      <c r="S154" s="4" t="s">
        <v>143</v>
      </c>
      <c r="T154" s="4" t="s">
        <v>143</v>
      </c>
      <c r="U154" s="4" t="s">
        <v>143</v>
      </c>
      <c r="W154" s="3" t="s">
        <v>174</v>
      </c>
      <c r="X154" s="3" t="s">
        <v>276</v>
      </c>
      <c r="Y154" s="4">
        <f t="shared" si="17"/>
        <v>155</v>
      </c>
    </row>
    <row r="155" spans="2:25" ht="12" customHeight="1" x14ac:dyDescent="0.15">
      <c r="B155" s="4">
        <v>155</v>
      </c>
      <c r="C155" s="14" t="str">
        <f t="shared" si="14"/>
        <v>Klingon</v>
      </c>
      <c r="D155" s="3" t="s">
        <v>107</v>
      </c>
      <c r="E155" s="14">
        <f t="shared" si="18"/>
        <v>4</v>
      </c>
      <c r="F155" s="4">
        <v>1</v>
      </c>
      <c r="H155" s="4">
        <f t="shared" si="16"/>
        <v>5</v>
      </c>
      <c r="I155" s="4" t="str">
        <f t="shared" ref="I155:I218" si="19">IF(AND(O155&lt;&gt;"Y",K155&lt;&gt;"Scenario"),"",IF(F155&lt;2,"",F155-1))</f>
        <v/>
      </c>
      <c r="J155" s="4" t="s">
        <v>17</v>
      </c>
      <c r="K155" s="4" t="s">
        <v>7</v>
      </c>
      <c r="L155" s="16" t="s">
        <v>137</v>
      </c>
      <c r="M155" s="16"/>
      <c r="O155" s="4" t="str">
        <f t="shared" si="15"/>
        <v>Y</v>
      </c>
      <c r="P155" s="4">
        <v>4</v>
      </c>
      <c r="Q155" s="4">
        <v>3</v>
      </c>
      <c r="R155" s="4">
        <v>4</v>
      </c>
      <c r="S155" s="4" t="s">
        <v>143</v>
      </c>
      <c r="T155" s="4" t="s">
        <v>143</v>
      </c>
      <c r="U155" s="4" t="s">
        <v>143</v>
      </c>
      <c r="W155" s="3" t="s">
        <v>174</v>
      </c>
      <c r="X155" s="3" t="s">
        <v>286</v>
      </c>
      <c r="Y155" s="4">
        <f t="shared" si="17"/>
        <v>155</v>
      </c>
    </row>
    <row r="156" spans="2:25" ht="12" customHeight="1" x14ac:dyDescent="0.15">
      <c r="B156" s="4">
        <v>155</v>
      </c>
      <c r="C156" s="14" t="str">
        <f t="shared" si="14"/>
        <v>Klingon</v>
      </c>
      <c r="D156" s="3" t="s">
        <v>106</v>
      </c>
      <c r="E156" s="14">
        <f t="shared" si="18"/>
        <v>4</v>
      </c>
      <c r="F156" s="4">
        <v>1</v>
      </c>
      <c r="H156" s="4">
        <f t="shared" si="16"/>
        <v>5</v>
      </c>
      <c r="I156" s="4" t="str">
        <f t="shared" si="19"/>
        <v/>
      </c>
      <c r="J156" s="4" t="s">
        <v>17</v>
      </c>
      <c r="K156" s="16" t="s">
        <v>176</v>
      </c>
      <c r="L156" s="16"/>
      <c r="M156" s="16"/>
      <c r="N156" s="16" t="s">
        <v>550</v>
      </c>
      <c r="O156" s="4" t="str">
        <f t="shared" si="15"/>
        <v/>
      </c>
      <c r="P156" s="4">
        <v>5</v>
      </c>
      <c r="W156" s="3" t="s">
        <v>205</v>
      </c>
      <c r="X156" s="3" t="s">
        <v>265</v>
      </c>
      <c r="Y156" s="4">
        <f t="shared" si="17"/>
        <v>155</v>
      </c>
    </row>
    <row r="157" spans="2:25" ht="12" customHeight="1" x14ac:dyDescent="0.15">
      <c r="B157" s="4">
        <v>155</v>
      </c>
      <c r="C157" s="14" t="str">
        <f t="shared" si="14"/>
        <v>Klingon</v>
      </c>
      <c r="D157" s="3" t="s">
        <v>105</v>
      </c>
      <c r="E157" s="14">
        <f t="shared" si="18"/>
        <v>4</v>
      </c>
      <c r="F157" s="4">
        <v>1</v>
      </c>
      <c r="H157" s="4">
        <f t="shared" si="16"/>
        <v>5</v>
      </c>
      <c r="I157" s="4" t="str">
        <f t="shared" si="19"/>
        <v/>
      </c>
      <c r="J157" s="4" t="s">
        <v>17</v>
      </c>
      <c r="K157" s="16" t="s">
        <v>176</v>
      </c>
      <c r="L157" s="16"/>
      <c r="M157" s="16"/>
      <c r="N157" s="16" t="s">
        <v>548</v>
      </c>
      <c r="O157" s="4" t="str">
        <f t="shared" si="15"/>
        <v/>
      </c>
      <c r="P157" s="4">
        <v>4</v>
      </c>
      <c r="W157" s="3" t="s">
        <v>228</v>
      </c>
      <c r="X157" s="3" t="s">
        <v>267</v>
      </c>
      <c r="Y157" s="4">
        <f t="shared" si="17"/>
        <v>155</v>
      </c>
    </row>
    <row r="158" spans="2:25" ht="12" customHeight="1" x14ac:dyDescent="0.15">
      <c r="B158" s="4">
        <v>156</v>
      </c>
      <c r="C158" s="14" t="str">
        <f t="shared" si="14"/>
        <v>Ferengi</v>
      </c>
      <c r="D158" s="3" t="s">
        <v>390</v>
      </c>
      <c r="E158" s="14">
        <f t="shared" si="18"/>
        <v>9</v>
      </c>
      <c r="F158" s="4">
        <v>1</v>
      </c>
      <c r="G158" s="4">
        <v>3</v>
      </c>
      <c r="H158" s="4">
        <f t="shared" si="16"/>
        <v>13</v>
      </c>
      <c r="I158" s="4" t="str">
        <f t="shared" si="19"/>
        <v/>
      </c>
      <c r="J158" s="4" t="s">
        <v>17</v>
      </c>
      <c r="K158" s="4" t="s">
        <v>7</v>
      </c>
      <c r="L158" s="16" t="s">
        <v>137</v>
      </c>
      <c r="M158" s="16"/>
      <c r="O158" s="4" t="str">
        <f t="shared" si="15"/>
        <v>Y</v>
      </c>
      <c r="P158" s="4">
        <v>3</v>
      </c>
      <c r="Q158" s="4">
        <v>3</v>
      </c>
      <c r="R158" s="4">
        <v>3</v>
      </c>
      <c r="S158" s="4" t="s">
        <v>143</v>
      </c>
      <c r="T158" s="4" t="s">
        <v>143</v>
      </c>
      <c r="U158" s="4" t="s">
        <v>143</v>
      </c>
      <c r="W158" s="3" t="s">
        <v>174</v>
      </c>
      <c r="X158" s="3" t="s">
        <v>358</v>
      </c>
      <c r="Y158" s="4">
        <f t="shared" si="17"/>
        <v>156</v>
      </c>
    </row>
    <row r="159" spans="2:25" ht="12" customHeight="1" x14ac:dyDescent="0.15">
      <c r="B159" s="4">
        <v>156</v>
      </c>
      <c r="C159" s="14" t="str">
        <f t="shared" si="14"/>
        <v>Ferengi</v>
      </c>
      <c r="D159" s="3" t="s">
        <v>46</v>
      </c>
      <c r="E159" s="14">
        <f t="shared" si="18"/>
        <v>9</v>
      </c>
      <c r="F159" s="4">
        <v>1</v>
      </c>
      <c r="G159" s="4">
        <v>3</v>
      </c>
      <c r="H159" s="4">
        <f t="shared" si="16"/>
        <v>13</v>
      </c>
      <c r="I159" s="4" t="str">
        <f t="shared" si="19"/>
        <v/>
      </c>
      <c r="J159" s="4" t="s">
        <v>17</v>
      </c>
      <c r="K159" s="4" t="s">
        <v>7</v>
      </c>
      <c r="L159" s="16" t="s">
        <v>21</v>
      </c>
      <c r="M159" s="16"/>
      <c r="O159" s="4" t="str">
        <f t="shared" si="15"/>
        <v>Y</v>
      </c>
      <c r="P159" s="4">
        <v>2</v>
      </c>
      <c r="Q159" s="4">
        <v>2</v>
      </c>
      <c r="R159" s="4">
        <v>3</v>
      </c>
      <c r="S159" s="4" t="s">
        <v>421</v>
      </c>
      <c r="T159" s="4" t="s">
        <v>414</v>
      </c>
      <c r="U159" s="4" t="s">
        <v>143</v>
      </c>
      <c r="W159" s="3" t="s">
        <v>269</v>
      </c>
      <c r="X159" s="3" t="s">
        <v>358</v>
      </c>
      <c r="Y159" s="4">
        <f t="shared" si="17"/>
        <v>156</v>
      </c>
    </row>
    <row r="160" spans="2:25" ht="12" customHeight="1" x14ac:dyDescent="0.15">
      <c r="B160" s="4">
        <v>156</v>
      </c>
      <c r="C160" s="14" t="str">
        <f t="shared" si="14"/>
        <v>Ferengi</v>
      </c>
      <c r="D160" s="3" t="s">
        <v>95</v>
      </c>
      <c r="E160" s="14">
        <f t="shared" si="18"/>
        <v>9</v>
      </c>
      <c r="F160" s="4">
        <v>4</v>
      </c>
      <c r="H160" s="4">
        <f t="shared" si="16"/>
        <v>13</v>
      </c>
      <c r="I160" s="4" t="str">
        <f t="shared" si="19"/>
        <v/>
      </c>
      <c r="J160" s="4" t="s">
        <v>17</v>
      </c>
      <c r="K160" s="4" t="s">
        <v>7</v>
      </c>
      <c r="L160" s="16" t="s">
        <v>553</v>
      </c>
      <c r="M160" s="16"/>
      <c r="N160" s="16" t="s">
        <v>171</v>
      </c>
      <c r="O160" s="4" t="str">
        <f t="shared" si="15"/>
        <v/>
      </c>
      <c r="P160" s="4">
        <v>2</v>
      </c>
      <c r="Q160" s="4">
        <v>1</v>
      </c>
      <c r="R160" s="4">
        <v>2</v>
      </c>
      <c r="S160" s="4" t="s">
        <v>421</v>
      </c>
      <c r="T160" s="4" t="s">
        <v>143</v>
      </c>
      <c r="U160" s="4" t="s">
        <v>143</v>
      </c>
      <c r="W160" s="3" t="s">
        <v>171</v>
      </c>
      <c r="X160" s="3" t="s">
        <v>280</v>
      </c>
      <c r="Y160" s="4">
        <f t="shared" si="17"/>
        <v>156</v>
      </c>
    </row>
    <row r="161" spans="2:25" ht="12" customHeight="1" x14ac:dyDescent="0.15">
      <c r="B161" s="4">
        <v>156</v>
      </c>
      <c r="C161" s="14" t="str">
        <f t="shared" si="14"/>
        <v>Ferengi</v>
      </c>
      <c r="D161" s="3" t="s">
        <v>391</v>
      </c>
      <c r="E161" s="14">
        <f t="shared" si="18"/>
        <v>9</v>
      </c>
      <c r="F161" s="4">
        <v>4</v>
      </c>
      <c r="H161" s="4">
        <f t="shared" si="16"/>
        <v>13</v>
      </c>
      <c r="I161" s="4" t="str">
        <f t="shared" si="19"/>
        <v/>
      </c>
      <c r="J161" s="4" t="s">
        <v>17</v>
      </c>
      <c r="K161" s="16" t="s">
        <v>176</v>
      </c>
      <c r="L161" s="16"/>
      <c r="M161" s="16"/>
      <c r="N161" s="16" t="s">
        <v>547</v>
      </c>
      <c r="O161" s="4" t="str">
        <f t="shared" si="15"/>
        <v/>
      </c>
      <c r="P161" s="4">
        <v>3</v>
      </c>
      <c r="W161" s="3" t="s">
        <v>298</v>
      </c>
      <c r="X161" s="3" t="s">
        <v>300</v>
      </c>
      <c r="Y161" s="4">
        <f t="shared" si="17"/>
        <v>156</v>
      </c>
    </row>
    <row r="162" spans="2:25" ht="12" customHeight="1" x14ac:dyDescent="0.15">
      <c r="B162" s="4">
        <v>157</v>
      </c>
      <c r="C162" s="14" t="str">
        <f t="shared" si="14"/>
        <v>Federation</v>
      </c>
      <c r="D162" s="3" t="s">
        <v>93</v>
      </c>
      <c r="E162" s="14">
        <f t="shared" si="18"/>
        <v>10</v>
      </c>
      <c r="F162" s="4">
        <v>1</v>
      </c>
      <c r="G162" s="4">
        <v>2</v>
      </c>
      <c r="H162" s="4">
        <f t="shared" si="16"/>
        <v>13</v>
      </c>
      <c r="I162" s="4" t="str">
        <f t="shared" si="19"/>
        <v/>
      </c>
      <c r="J162" s="4" t="s">
        <v>17</v>
      </c>
      <c r="K162" s="4" t="s">
        <v>7</v>
      </c>
      <c r="L162" s="42" t="s">
        <v>553</v>
      </c>
      <c r="N162" s="16" t="s">
        <v>552</v>
      </c>
      <c r="O162" s="4" t="str">
        <f t="shared" si="15"/>
        <v>Y</v>
      </c>
      <c r="P162" s="4">
        <v>7</v>
      </c>
      <c r="Q162" s="4">
        <v>1</v>
      </c>
      <c r="R162" s="4">
        <v>2</v>
      </c>
      <c r="S162" s="4" t="s">
        <v>418</v>
      </c>
      <c r="T162" s="4" t="s">
        <v>417</v>
      </c>
      <c r="U162" s="4" t="s">
        <v>143</v>
      </c>
      <c r="W162" s="3" t="s">
        <v>315</v>
      </c>
      <c r="X162" s="3" t="s">
        <v>314</v>
      </c>
      <c r="Y162" s="4">
        <f t="shared" si="17"/>
        <v>157</v>
      </c>
    </row>
    <row r="163" spans="2:25" ht="12" customHeight="1" x14ac:dyDescent="0.15">
      <c r="B163" s="4">
        <v>157</v>
      </c>
      <c r="C163" s="14" t="str">
        <f t="shared" si="14"/>
        <v>Federation</v>
      </c>
      <c r="D163" s="3" t="s">
        <v>317</v>
      </c>
      <c r="E163" s="14">
        <f t="shared" si="18"/>
        <v>10</v>
      </c>
      <c r="F163" s="4">
        <v>1</v>
      </c>
      <c r="G163" s="4">
        <v>2</v>
      </c>
      <c r="H163" s="4">
        <f t="shared" si="16"/>
        <v>13</v>
      </c>
      <c r="I163" s="4" t="str">
        <f t="shared" si="19"/>
        <v/>
      </c>
      <c r="J163" s="4" t="s">
        <v>17</v>
      </c>
      <c r="K163" s="4" t="s">
        <v>7</v>
      </c>
      <c r="L163" s="16" t="s">
        <v>553</v>
      </c>
      <c r="M163" s="16"/>
      <c r="N163" s="16" t="s">
        <v>86</v>
      </c>
      <c r="O163" s="4" t="str">
        <f t="shared" si="15"/>
        <v>Y</v>
      </c>
      <c r="P163" s="4">
        <v>6</v>
      </c>
      <c r="Q163" s="4">
        <v>4</v>
      </c>
      <c r="R163" s="4">
        <v>3</v>
      </c>
      <c r="S163" s="4" t="s">
        <v>414</v>
      </c>
      <c r="T163" s="4" t="s">
        <v>411</v>
      </c>
      <c r="U163" s="4" t="s">
        <v>143</v>
      </c>
      <c r="W163" s="3" t="s">
        <v>167</v>
      </c>
      <c r="X163" s="3" t="s">
        <v>360</v>
      </c>
      <c r="Y163" s="4">
        <f t="shared" si="17"/>
        <v>157</v>
      </c>
    </row>
    <row r="164" spans="2:25" ht="12" customHeight="1" x14ac:dyDescent="0.15">
      <c r="B164" s="4">
        <v>157</v>
      </c>
      <c r="C164" s="14" t="str">
        <f t="shared" si="14"/>
        <v>Federation</v>
      </c>
      <c r="D164" s="3" t="s">
        <v>95</v>
      </c>
      <c r="E164" s="14">
        <f t="shared" si="18"/>
        <v>10</v>
      </c>
      <c r="F164" s="4">
        <v>3</v>
      </c>
      <c r="G164" s="16"/>
      <c r="H164" s="4">
        <f t="shared" si="16"/>
        <v>13</v>
      </c>
      <c r="I164" s="4" t="str">
        <f t="shared" si="19"/>
        <v/>
      </c>
      <c r="J164" s="4" t="s">
        <v>17</v>
      </c>
      <c r="K164" s="4" t="s">
        <v>7</v>
      </c>
      <c r="L164" s="42" t="s">
        <v>553</v>
      </c>
      <c r="N164" s="16" t="s">
        <v>171</v>
      </c>
      <c r="O164" s="4" t="str">
        <f t="shared" si="15"/>
        <v/>
      </c>
      <c r="P164" s="4">
        <v>2</v>
      </c>
      <c r="Q164" s="4">
        <v>2</v>
      </c>
      <c r="R164" s="4">
        <v>2</v>
      </c>
      <c r="S164" s="4" t="s">
        <v>143</v>
      </c>
      <c r="T164" s="4" t="s">
        <v>143</v>
      </c>
      <c r="U164" s="4" t="s">
        <v>143</v>
      </c>
      <c r="W164" s="3" t="s">
        <v>171</v>
      </c>
      <c r="X164" s="3" t="s">
        <v>280</v>
      </c>
      <c r="Y164" s="4">
        <f t="shared" si="17"/>
        <v>157</v>
      </c>
    </row>
    <row r="165" spans="2:25" ht="12" customHeight="1" x14ac:dyDescent="0.15">
      <c r="B165" s="4">
        <v>157</v>
      </c>
      <c r="C165" s="14" t="str">
        <f t="shared" si="14"/>
        <v>Federation</v>
      </c>
      <c r="D165" s="3" t="s">
        <v>94</v>
      </c>
      <c r="E165" s="14">
        <f t="shared" si="18"/>
        <v>10</v>
      </c>
      <c r="F165" s="4">
        <v>3</v>
      </c>
      <c r="H165" s="4">
        <f t="shared" si="16"/>
        <v>13</v>
      </c>
      <c r="I165" s="4" t="str">
        <f t="shared" si="19"/>
        <v/>
      </c>
      <c r="J165" s="4" t="s">
        <v>17</v>
      </c>
      <c r="K165" s="16" t="s">
        <v>176</v>
      </c>
      <c r="L165" s="16"/>
      <c r="M165" s="16"/>
      <c r="N165" s="16" t="s">
        <v>546</v>
      </c>
      <c r="O165" s="4" t="str">
        <f t="shared" si="15"/>
        <v/>
      </c>
      <c r="P165" s="4">
        <v>4</v>
      </c>
      <c r="W165" s="3" t="s">
        <v>231</v>
      </c>
      <c r="X165" s="5" t="s">
        <v>230</v>
      </c>
      <c r="Y165" s="4">
        <f t="shared" si="17"/>
        <v>157</v>
      </c>
    </row>
    <row r="166" spans="2:25" ht="12" customHeight="1" x14ac:dyDescent="0.15">
      <c r="B166" s="4">
        <v>158</v>
      </c>
      <c r="C166" s="14" t="str">
        <f t="shared" si="14"/>
        <v>Romulan</v>
      </c>
      <c r="D166" s="3" t="s">
        <v>208</v>
      </c>
      <c r="E166" s="14">
        <f t="shared" si="18"/>
        <v>5</v>
      </c>
      <c r="F166" s="4">
        <v>1</v>
      </c>
      <c r="H166" s="4">
        <f t="shared" si="16"/>
        <v>6</v>
      </c>
      <c r="I166" s="4" t="str">
        <f t="shared" si="19"/>
        <v/>
      </c>
      <c r="J166" s="4" t="s">
        <v>17</v>
      </c>
      <c r="K166" s="4" t="s">
        <v>7</v>
      </c>
      <c r="L166" s="16" t="s">
        <v>553</v>
      </c>
      <c r="N166" s="16" t="s">
        <v>557</v>
      </c>
      <c r="O166" s="4" t="str">
        <f t="shared" si="15"/>
        <v>Y</v>
      </c>
      <c r="P166" s="4">
        <v>9</v>
      </c>
      <c r="Q166" s="4">
        <v>7</v>
      </c>
      <c r="R166" s="4">
        <v>0</v>
      </c>
      <c r="S166" s="4" t="s">
        <v>423</v>
      </c>
      <c r="T166" s="4" t="s">
        <v>415</v>
      </c>
      <c r="U166" s="4" t="s">
        <v>411</v>
      </c>
      <c r="W166" s="3" t="s">
        <v>141</v>
      </c>
      <c r="X166" s="3" t="s">
        <v>363</v>
      </c>
      <c r="Y166" s="4">
        <f t="shared" si="17"/>
        <v>158</v>
      </c>
    </row>
    <row r="167" spans="2:25" ht="12" customHeight="1" x14ac:dyDescent="0.15">
      <c r="B167" s="4">
        <v>158</v>
      </c>
      <c r="C167" s="14" t="str">
        <f t="shared" si="14"/>
        <v>Romulan</v>
      </c>
      <c r="D167" s="3" t="s">
        <v>65</v>
      </c>
      <c r="E167" s="14">
        <f t="shared" si="18"/>
        <v>5</v>
      </c>
      <c r="F167" s="4">
        <v>1</v>
      </c>
      <c r="H167" s="4">
        <f t="shared" si="16"/>
        <v>6</v>
      </c>
      <c r="I167" s="4" t="str">
        <f t="shared" si="19"/>
        <v/>
      </c>
      <c r="J167" s="4" t="s">
        <v>17</v>
      </c>
      <c r="K167" s="4" t="s">
        <v>7</v>
      </c>
      <c r="L167" s="16" t="s">
        <v>137</v>
      </c>
      <c r="M167" s="16" t="s">
        <v>562</v>
      </c>
      <c r="N167" s="16"/>
      <c r="O167" s="4" t="str">
        <f t="shared" si="15"/>
        <v/>
      </c>
      <c r="P167" s="4">
        <v>3</v>
      </c>
      <c r="Q167" s="4">
        <v>3</v>
      </c>
      <c r="R167" s="4">
        <v>3</v>
      </c>
      <c r="S167" s="4" t="s">
        <v>143</v>
      </c>
      <c r="T167" s="4" t="s">
        <v>143</v>
      </c>
      <c r="U167" s="4" t="s">
        <v>143</v>
      </c>
      <c r="W167" s="3" t="s">
        <v>213</v>
      </c>
      <c r="X167" s="3" t="s">
        <v>366</v>
      </c>
      <c r="Y167" s="4">
        <f t="shared" si="17"/>
        <v>158</v>
      </c>
    </row>
    <row r="168" spans="2:25" ht="12" customHeight="1" x14ac:dyDescent="0.15">
      <c r="B168" s="4">
        <v>158</v>
      </c>
      <c r="C168" s="14" t="str">
        <f t="shared" si="14"/>
        <v>Romulan</v>
      </c>
      <c r="D168" s="3" t="s">
        <v>64</v>
      </c>
      <c r="E168" s="14">
        <f t="shared" si="18"/>
        <v>5</v>
      </c>
      <c r="F168" s="4">
        <v>1</v>
      </c>
      <c r="H168" s="4">
        <f t="shared" si="16"/>
        <v>6</v>
      </c>
      <c r="I168" s="4" t="str">
        <f t="shared" si="19"/>
        <v/>
      </c>
      <c r="J168" s="4" t="s">
        <v>17</v>
      </c>
      <c r="K168" s="4" t="s">
        <v>7</v>
      </c>
      <c r="N168" s="16" t="s">
        <v>179</v>
      </c>
      <c r="O168" s="4" t="str">
        <f t="shared" si="15"/>
        <v>Y</v>
      </c>
      <c r="P168" s="4">
        <v>4</v>
      </c>
      <c r="Q168" s="4">
        <v>3</v>
      </c>
      <c r="R168" s="4">
        <v>1</v>
      </c>
      <c r="S168" s="4" t="s">
        <v>414</v>
      </c>
      <c r="T168" s="4" t="s">
        <v>143</v>
      </c>
      <c r="U168" s="4" t="s">
        <v>143</v>
      </c>
      <c r="W168" s="3" t="s">
        <v>164</v>
      </c>
      <c r="X168" s="3" t="s">
        <v>163</v>
      </c>
      <c r="Y168" s="4">
        <f t="shared" si="17"/>
        <v>158</v>
      </c>
    </row>
    <row r="169" spans="2:25" ht="12" customHeight="1" x14ac:dyDescent="0.15">
      <c r="B169" s="4">
        <v>158</v>
      </c>
      <c r="C169" s="14" t="str">
        <f t="shared" si="14"/>
        <v>Romulan</v>
      </c>
      <c r="D169" s="3" t="s">
        <v>353</v>
      </c>
      <c r="E169" s="14">
        <f t="shared" si="18"/>
        <v>5</v>
      </c>
      <c r="F169" s="4">
        <v>1</v>
      </c>
      <c r="H169" s="4">
        <f t="shared" si="16"/>
        <v>6</v>
      </c>
      <c r="I169" s="4" t="str">
        <f t="shared" si="19"/>
        <v/>
      </c>
      <c r="J169" s="4" t="s">
        <v>17</v>
      </c>
      <c r="K169" s="16" t="s">
        <v>176</v>
      </c>
      <c r="L169" s="16"/>
      <c r="M169" s="16"/>
      <c r="N169" s="16" t="s">
        <v>8</v>
      </c>
      <c r="O169" s="4" t="str">
        <f t="shared" si="15"/>
        <v/>
      </c>
      <c r="P169" s="4">
        <v>10</v>
      </c>
      <c r="W169" s="3" t="s">
        <v>154</v>
      </c>
      <c r="X169" s="5" t="s">
        <v>234</v>
      </c>
      <c r="Y169" s="4">
        <f t="shared" si="17"/>
        <v>158</v>
      </c>
    </row>
    <row r="170" spans="2:25" ht="12" customHeight="1" x14ac:dyDescent="0.15">
      <c r="B170" s="4">
        <v>159</v>
      </c>
      <c r="C170" s="14" t="str">
        <f t="shared" si="14"/>
        <v>Klingon</v>
      </c>
      <c r="D170" s="3" t="s">
        <v>101</v>
      </c>
      <c r="E170" s="14">
        <f t="shared" si="18"/>
        <v>6</v>
      </c>
      <c r="F170" s="4">
        <v>1</v>
      </c>
      <c r="G170" s="4">
        <v>1</v>
      </c>
      <c r="H170" s="4">
        <f t="shared" si="16"/>
        <v>8</v>
      </c>
      <c r="I170" s="4" t="str">
        <f t="shared" si="19"/>
        <v/>
      </c>
      <c r="J170" s="4" t="s">
        <v>17</v>
      </c>
      <c r="K170" s="4" t="s">
        <v>7</v>
      </c>
      <c r="L170" s="16" t="s">
        <v>21</v>
      </c>
      <c r="M170" s="16"/>
      <c r="O170" s="4" t="str">
        <f t="shared" si="15"/>
        <v>Y</v>
      </c>
      <c r="P170" s="4">
        <v>4</v>
      </c>
      <c r="Q170" s="4">
        <v>2</v>
      </c>
      <c r="R170" s="4">
        <v>4</v>
      </c>
      <c r="S170" s="4" t="s">
        <v>143</v>
      </c>
      <c r="T170" s="4" t="s">
        <v>143</v>
      </c>
      <c r="U170" s="4" t="s">
        <v>143</v>
      </c>
      <c r="W170" s="3" t="s">
        <v>269</v>
      </c>
      <c r="X170" s="3" t="s">
        <v>268</v>
      </c>
      <c r="Y170" s="4">
        <f t="shared" si="17"/>
        <v>159</v>
      </c>
    </row>
    <row r="171" spans="2:25" ht="12" customHeight="1" x14ac:dyDescent="0.15">
      <c r="B171" s="4">
        <v>159</v>
      </c>
      <c r="C171" s="14" t="str">
        <f t="shared" si="14"/>
        <v>Klingon</v>
      </c>
      <c r="D171" s="3" t="s">
        <v>104</v>
      </c>
      <c r="E171" s="14">
        <f t="shared" si="18"/>
        <v>6</v>
      </c>
      <c r="F171" s="4">
        <v>1</v>
      </c>
      <c r="G171" s="4">
        <v>1</v>
      </c>
      <c r="H171" s="4">
        <f t="shared" si="16"/>
        <v>8</v>
      </c>
      <c r="I171" s="4" t="str">
        <f t="shared" si="19"/>
        <v/>
      </c>
      <c r="J171" s="4" t="s">
        <v>17</v>
      </c>
      <c r="K171" s="4" t="s">
        <v>7</v>
      </c>
      <c r="L171" s="16" t="s">
        <v>21</v>
      </c>
      <c r="M171" s="16"/>
      <c r="N171" s="16" t="s">
        <v>236</v>
      </c>
      <c r="O171" s="4" t="str">
        <f t="shared" si="15"/>
        <v>Y</v>
      </c>
      <c r="P171" s="42">
        <v>8</v>
      </c>
      <c r="Q171" s="4">
        <v>3</v>
      </c>
      <c r="R171" s="4">
        <v>2</v>
      </c>
      <c r="S171" s="4" t="s">
        <v>143</v>
      </c>
      <c r="T171" s="4" t="s">
        <v>143</v>
      </c>
      <c r="U171" s="4" t="s">
        <v>143</v>
      </c>
      <c r="W171" s="3" t="s">
        <v>329</v>
      </c>
      <c r="X171" s="3" t="s">
        <v>279</v>
      </c>
      <c r="Y171" s="4">
        <f t="shared" si="17"/>
        <v>159</v>
      </c>
    </row>
    <row r="172" spans="2:25" ht="12" customHeight="1" x14ac:dyDescent="0.15">
      <c r="B172" s="4">
        <v>159</v>
      </c>
      <c r="C172" s="14" t="str">
        <f t="shared" si="14"/>
        <v>Klingon</v>
      </c>
      <c r="D172" s="3" t="s">
        <v>102</v>
      </c>
      <c r="E172" s="14">
        <f t="shared" si="18"/>
        <v>6</v>
      </c>
      <c r="F172" s="4">
        <v>1</v>
      </c>
      <c r="G172" s="4">
        <v>1</v>
      </c>
      <c r="H172" s="4">
        <f t="shared" si="16"/>
        <v>8</v>
      </c>
      <c r="I172" s="4" t="str">
        <f t="shared" si="19"/>
        <v/>
      </c>
      <c r="J172" s="4" t="s">
        <v>17</v>
      </c>
      <c r="K172" s="4" t="s">
        <v>7</v>
      </c>
      <c r="L172" s="16" t="s">
        <v>137</v>
      </c>
      <c r="M172" s="16"/>
      <c r="O172" s="4" t="str">
        <f t="shared" si="15"/>
        <v>Y</v>
      </c>
      <c r="P172" s="4">
        <v>4</v>
      </c>
      <c r="Q172" s="4">
        <v>2</v>
      </c>
      <c r="R172" s="4">
        <v>4</v>
      </c>
      <c r="S172" s="4" t="s">
        <v>143</v>
      </c>
      <c r="T172" s="4" t="s">
        <v>143</v>
      </c>
      <c r="U172" s="4" t="s">
        <v>143</v>
      </c>
      <c r="W172" s="3" t="s">
        <v>174</v>
      </c>
      <c r="X172" s="3" t="s">
        <v>361</v>
      </c>
      <c r="Y172" s="4">
        <f t="shared" si="17"/>
        <v>159</v>
      </c>
    </row>
    <row r="173" spans="2:25" ht="12" customHeight="1" x14ac:dyDescent="0.15">
      <c r="B173" s="4">
        <v>159</v>
      </c>
      <c r="C173" s="14" t="str">
        <f t="shared" si="14"/>
        <v>Klingon</v>
      </c>
      <c r="D173" s="3" t="s">
        <v>103</v>
      </c>
      <c r="E173" s="14">
        <f t="shared" si="18"/>
        <v>6</v>
      </c>
      <c r="F173" s="4">
        <v>2</v>
      </c>
      <c r="H173" s="4">
        <f t="shared" si="16"/>
        <v>8</v>
      </c>
      <c r="I173" s="4" t="str">
        <f t="shared" si="19"/>
        <v/>
      </c>
      <c r="J173" s="4" t="s">
        <v>17</v>
      </c>
      <c r="K173" s="16" t="s">
        <v>176</v>
      </c>
      <c r="L173" s="16"/>
      <c r="M173" s="16"/>
      <c r="N173" s="16" t="s">
        <v>550</v>
      </c>
      <c r="O173" s="4" t="str">
        <f t="shared" si="15"/>
        <v/>
      </c>
      <c r="P173" s="4">
        <v>10</v>
      </c>
      <c r="W173" s="3" t="s">
        <v>205</v>
      </c>
      <c r="X173" s="5" t="s">
        <v>263</v>
      </c>
      <c r="Y173" s="4">
        <f t="shared" si="17"/>
        <v>159</v>
      </c>
    </row>
    <row r="174" spans="2:25" ht="12" customHeight="1" x14ac:dyDescent="0.15">
      <c r="B174" s="4">
        <v>160</v>
      </c>
      <c r="C174" s="14" t="str">
        <f t="shared" si="14"/>
        <v>Cardassian</v>
      </c>
      <c r="D174" s="3" t="s">
        <v>160</v>
      </c>
      <c r="E174" s="14">
        <f t="shared" si="18"/>
        <v>3</v>
      </c>
      <c r="F174" s="4">
        <v>1</v>
      </c>
      <c r="H174" s="4">
        <f t="shared" si="16"/>
        <v>4</v>
      </c>
      <c r="I174" s="4" t="str">
        <f t="shared" si="19"/>
        <v/>
      </c>
      <c r="J174" s="4" t="s">
        <v>17</v>
      </c>
      <c r="K174" s="4" t="s">
        <v>7</v>
      </c>
      <c r="L174" s="16" t="s">
        <v>21</v>
      </c>
      <c r="M174" s="16" t="s">
        <v>166</v>
      </c>
      <c r="N174" s="16"/>
      <c r="O174" s="4" t="str">
        <f t="shared" si="15"/>
        <v>Y</v>
      </c>
      <c r="P174" s="4">
        <v>5</v>
      </c>
      <c r="Q174" s="4">
        <v>3</v>
      </c>
      <c r="R174" s="4">
        <v>2</v>
      </c>
      <c r="S174" s="4" t="s">
        <v>421</v>
      </c>
      <c r="T174" s="4" t="s">
        <v>411</v>
      </c>
      <c r="U174" s="4" t="s">
        <v>143</v>
      </c>
      <c r="W174" s="3" t="s">
        <v>161</v>
      </c>
      <c r="X174" s="3" t="s">
        <v>357</v>
      </c>
      <c r="Y174" s="4">
        <f t="shared" si="17"/>
        <v>160</v>
      </c>
    </row>
    <row r="175" spans="2:25" ht="12" customHeight="1" x14ac:dyDescent="0.15">
      <c r="B175" s="4">
        <v>160</v>
      </c>
      <c r="C175" s="14" t="str">
        <f t="shared" si="14"/>
        <v>Cardassian</v>
      </c>
      <c r="D175" s="3" t="s">
        <v>173</v>
      </c>
      <c r="E175" s="14">
        <f t="shared" si="18"/>
        <v>3</v>
      </c>
      <c r="F175" s="4">
        <v>1</v>
      </c>
      <c r="H175" s="4">
        <f t="shared" si="16"/>
        <v>4</v>
      </c>
      <c r="I175" s="4" t="str">
        <f t="shared" si="19"/>
        <v/>
      </c>
      <c r="J175" s="4" t="s">
        <v>17</v>
      </c>
      <c r="K175" s="4" t="s">
        <v>7</v>
      </c>
      <c r="L175" s="16" t="s">
        <v>137</v>
      </c>
      <c r="M175" s="16"/>
      <c r="O175" s="4" t="str">
        <f t="shared" si="15"/>
        <v>Y</v>
      </c>
      <c r="P175" s="4">
        <v>3</v>
      </c>
      <c r="Q175" s="4">
        <v>3</v>
      </c>
      <c r="R175" s="4">
        <v>3</v>
      </c>
      <c r="S175" s="4" t="s">
        <v>143</v>
      </c>
      <c r="T175" s="4" t="s">
        <v>143</v>
      </c>
      <c r="U175" s="4" t="s">
        <v>143</v>
      </c>
      <c r="W175" s="3" t="s">
        <v>174</v>
      </c>
      <c r="X175" s="3" t="s">
        <v>358</v>
      </c>
      <c r="Y175" s="4">
        <f t="shared" si="17"/>
        <v>160</v>
      </c>
    </row>
    <row r="176" spans="2:25" ht="12" customHeight="1" x14ac:dyDescent="0.15">
      <c r="B176" s="4">
        <v>160</v>
      </c>
      <c r="C176" s="14" t="str">
        <f t="shared" si="14"/>
        <v>Cardassian</v>
      </c>
      <c r="D176" s="3" t="s">
        <v>170</v>
      </c>
      <c r="E176" s="14">
        <f t="shared" si="18"/>
        <v>3</v>
      </c>
      <c r="F176" s="4">
        <v>1</v>
      </c>
      <c r="H176" s="4">
        <f t="shared" si="16"/>
        <v>4</v>
      </c>
      <c r="I176" s="4" t="str">
        <f t="shared" si="19"/>
        <v/>
      </c>
      <c r="J176" s="4" t="s">
        <v>17</v>
      </c>
      <c r="K176" s="4" t="s">
        <v>7</v>
      </c>
      <c r="L176" s="42" t="s">
        <v>553</v>
      </c>
      <c r="N176" s="16" t="s">
        <v>171</v>
      </c>
      <c r="O176" s="4" t="str">
        <f t="shared" si="15"/>
        <v/>
      </c>
      <c r="P176" s="4">
        <v>2</v>
      </c>
      <c r="Q176" s="4">
        <v>1</v>
      </c>
      <c r="R176" s="4">
        <v>2</v>
      </c>
      <c r="S176" s="4" t="s">
        <v>143</v>
      </c>
      <c r="T176" s="4" t="s">
        <v>143</v>
      </c>
      <c r="U176" s="4" t="s">
        <v>143</v>
      </c>
      <c r="W176" s="3" t="s">
        <v>171</v>
      </c>
      <c r="X176" s="3" t="s">
        <v>388</v>
      </c>
      <c r="Y176" s="4">
        <f t="shared" si="17"/>
        <v>160</v>
      </c>
    </row>
    <row r="177" spans="1:25" ht="12" customHeight="1" x14ac:dyDescent="0.15">
      <c r="B177" s="4">
        <v>160</v>
      </c>
      <c r="C177" s="14" t="str">
        <f t="shared" si="14"/>
        <v>Cardassian</v>
      </c>
      <c r="D177" s="3" t="s">
        <v>16</v>
      </c>
      <c r="E177" s="14">
        <f t="shared" si="18"/>
        <v>3</v>
      </c>
      <c r="F177" s="4">
        <v>1</v>
      </c>
      <c r="H177" s="4">
        <f t="shared" si="16"/>
        <v>4</v>
      </c>
      <c r="I177" s="4" t="str">
        <f t="shared" si="19"/>
        <v/>
      </c>
      <c r="J177" s="4" t="s">
        <v>17</v>
      </c>
      <c r="K177" s="16" t="s">
        <v>176</v>
      </c>
      <c r="L177" s="16"/>
      <c r="M177" s="16"/>
      <c r="N177" s="16" t="s">
        <v>546</v>
      </c>
      <c r="O177" s="4" t="str">
        <f t="shared" si="15"/>
        <v/>
      </c>
      <c r="P177" s="4">
        <v>4</v>
      </c>
      <c r="W177" s="3" t="s">
        <v>231</v>
      </c>
      <c r="X177" s="3" t="s">
        <v>155</v>
      </c>
      <c r="Y177" s="4">
        <f t="shared" si="17"/>
        <v>160</v>
      </c>
    </row>
    <row r="178" spans="1:25" ht="12" customHeight="1" x14ac:dyDescent="0.15">
      <c r="B178" s="4">
        <v>161</v>
      </c>
      <c r="C178" s="14" t="str">
        <f t="shared" si="14"/>
        <v>Federation</v>
      </c>
      <c r="D178" s="3" t="s">
        <v>308</v>
      </c>
      <c r="E178" s="14">
        <f t="shared" si="18"/>
        <v>4</v>
      </c>
      <c r="F178" s="4">
        <v>1</v>
      </c>
      <c r="G178" s="4">
        <v>2</v>
      </c>
      <c r="H178" s="4">
        <f t="shared" si="16"/>
        <v>7</v>
      </c>
      <c r="I178" s="4" t="str">
        <f t="shared" si="19"/>
        <v/>
      </c>
      <c r="J178" s="16" t="s">
        <v>436</v>
      </c>
      <c r="K178" s="4" t="s">
        <v>7</v>
      </c>
      <c r="L178" s="16" t="s">
        <v>553</v>
      </c>
      <c r="M178" s="16"/>
      <c r="N178" s="16" t="s">
        <v>556</v>
      </c>
      <c r="O178" s="4" t="str">
        <f t="shared" si="15"/>
        <v>Y</v>
      </c>
      <c r="P178" s="4">
        <v>8</v>
      </c>
      <c r="Q178" s="4">
        <v>6</v>
      </c>
      <c r="R178" s="4">
        <v>2</v>
      </c>
      <c r="S178" s="31" t="s">
        <v>419</v>
      </c>
      <c r="T178" s="4" t="s">
        <v>414</v>
      </c>
      <c r="U178" s="4" t="s">
        <v>409</v>
      </c>
      <c r="W178" s="3" t="s">
        <v>204</v>
      </c>
      <c r="X178" s="3" t="s">
        <v>309</v>
      </c>
      <c r="Y178" s="4">
        <f t="shared" si="17"/>
        <v>161</v>
      </c>
    </row>
    <row r="179" spans="1:25" ht="12" customHeight="1" x14ac:dyDescent="0.15">
      <c r="B179" s="4">
        <v>161</v>
      </c>
      <c r="C179" s="14" t="str">
        <f t="shared" si="14"/>
        <v>Federation</v>
      </c>
      <c r="D179" s="3" t="s">
        <v>185</v>
      </c>
      <c r="E179" s="14">
        <f t="shared" si="18"/>
        <v>4</v>
      </c>
      <c r="F179" s="4">
        <v>1</v>
      </c>
      <c r="G179" s="4">
        <v>2</v>
      </c>
      <c r="H179" s="4">
        <f t="shared" si="16"/>
        <v>7</v>
      </c>
      <c r="I179" s="4" t="str">
        <f t="shared" si="19"/>
        <v/>
      </c>
      <c r="J179" s="16" t="s">
        <v>436</v>
      </c>
      <c r="K179" s="4" t="s">
        <v>354</v>
      </c>
      <c r="O179" s="4" t="str">
        <f t="shared" si="15"/>
        <v>Y</v>
      </c>
      <c r="P179" s="4">
        <v>16</v>
      </c>
      <c r="Q179" s="4">
        <v>4</v>
      </c>
      <c r="R179" s="4">
        <v>5</v>
      </c>
      <c r="S179" s="4">
        <v>4</v>
      </c>
      <c r="T179" s="4">
        <v>4</v>
      </c>
      <c r="U179" s="4">
        <v>6</v>
      </c>
      <c r="V179" s="4">
        <v>5</v>
      </c>
      <c r="W179" s="18" t="s">
        <v>456</v>
      </c>
      <c r="X179" s="3" t="s">
        <v>373</v>
      </c>
      <c r="Y179" s="4">
        <f t="shared" si="17"/>
        <v>161</v>
      </c>
    </row>
    <row r="180" spans="1:25" ht="12" customHeight="1" x14ac:dyDescent="0.15">
      <c r="A180" s="3">
        <v>0</v>
      </c>
      <c r="B180" s="4">
        <v>161</v>
      </c>
      <c r="C180" s="14" t="str">
        <f t="shared" si="14"/>
        <v>Federation</v>
      </c>
      <c r="D180" s="3" t="s">
        <v>128</v>
      </c>
      <c r="E180" s="14">
        <f t="shared" si="18"/>
        <v>4</v>
      </c>
      <c r="F180" s="4">
        <v>2</v>
      </c>
      <c r="H180" s="4">
        <f t="shared" si="16"/>
        <v>6</v>
      </c>
      <c r="I180" s="4" t="str">
        <f t="shared" si="19"/>
        <v/>
      </c>
      <c r="J180" s="16" t="s">
        <v>436</v>
      </c>
      <c r="K180" s="16" t="s">
        <v>176</v>
      </c>
      <c r="L180" s="16"/>
      <c r="M180" s="16"/>
      <c r="N180" s="16"/>
      <c r="O180" s="4" t="str">
        <f t="shared" si="15"/>
        <v/>
      </c>
      <c r="P180" s="4">
        <v>4</v>
      </c>
      <c r="W180" s="3" t="s">
        <v>176</v>
      </c>
      <c r="X180" s="3" t="s">
        <v>375</v>
      </c>
      <c r="Y180" s="4">
        <f t="shared" si="17"/>
        <v>161</v>
      </c>
    </row>
    <row r="181" spans="1:25" ht="12" customHeight="1" x14ac:dyDescent="0.15">
      <c r="B181" s="4">
        <v>162</v>
      </c>
      <c r="C181" s="14" t="str">
        <f t="shared" si="14"/>
        <v>Federation</v>
      </c>
      <c r="D181" s="3" t="s">
        <v>305</v>
      </c>
      <c r="E181" s="14">
        <f t="shared" si="18"/>
        <v>5</v>
      </c>
      <c r="F181" s="4">
        <v>1</v>
      </c>
      <c r="G181" s="4">
        <v>2</v>
      </c>
      <c r="H181" s="4">
        <f t="shared" si="16"/>
        <v>8</v>
      </c>
      <c r="I181" s="4" t="str">
        <f t="shared" si="19"/>
        <v/>
      </c>
      <c r="J181" s="16" t="s">
        <v>436</v>
      </c>
      <c r="K181" s="4" t="s">
        <v>7</v>
      </c>
      <c r="L181" s="16" t="s">
        <v>553</v>
      </c>
      <c r="M181" s="16"/>
      <c r="O181" s="4" t="str">
        <f t="shared" si="15"/>
        <v>Y</v>
      </c>
      <c r="P181" s="4">
        <v>2</v>
      </c>
      <c r="Q181" s="4">
        <v>2</v>
      </c>
      <c r="R181" s="4">
        <v>0</v>
      </c>
      <c r="S181" s="4" t="s">
        <v>143</v>
      </c>
      <c r="T181" s="4" t="s">
        <v>143</v>
      </c>
      <c r="U181" s="4" t="s">
        <v>143</v>
      </c>
      <c r="W181" s="3" t="s">
        <v>183</v>
      </c>
      <c r="X181" s="3" t="s">
        <v>306</v>
      </c>
      <c r="Y181" s="4">
        <f t="shared" si="17"/>
        <v>162</v>
      </c>
    </row>
    <row r="182" spans="1:25" ht="12" customHeight="1" x14ac:dyDescent="0.15">
      <c r="B182" s="4">
        <v>162</v>
      </c>
      <c r="C182" s="14" t="str">
        <f t="shared" si="14"/>
        <v>Federation</v>
      </c>
      <c r="D182" s="3" t="s">
        <v>129</v>
      </c>
      <c r="E182" s="14">
        <f t="shared" si="18"/>
        <v>5</v>
      </c>
      <c r="F182" s="4">
        <v>2</v>
      </c>
      <c r="G182" s="4">
        <v>1</v>
      </c>
      <c r="H182" s="4">
        <f t="shared" si="16"/>
        <v>8</v>
      </c>
      <c r="I182" s="4" t="str">
        <f t="shared" si="19"/>
        <v/>
      </c>
      <c r="J182" s="16" t="s">
        <v>436</v>
      </c>
      <c r="K182" s="4" t="s">
        <v>7</v>
      </c>
      <c r="L182" s="16" t="s">
        <v>137</v>
      </c>
      <c r="M182" s="16"/>
      <c r="O182" s="4" t="str">
        <f t="shared" si="15"/>
        <v/>
      </c>
      <c r="P182" s="4">
        <v>2</v>
      </c>
      <c r="Q182" s="4">
        <v>1</v>
      </c>
      <c r="R182" s="4">
        <v>3</v>
      </c>
      <c r="S182" s="4" t="s">
        <v>143</v>
      </c>
      <c r="T182" s="4" t="s">
        <v>143</v>
      </c>
      <c r="U182" s="4" t="s">
        <v>143</v>
      </c>
      <c r="W182" s="3" t="s">
        <v>137</v>
      </c>
      <c r="X182" s="3" t="s">
        <v>158</v>
      </c>
      <c r="Y182" s="4">
        <f t="shared" si="17"/>
        <v>162</v>
      </c>
    </row>
    <row r="183" spans="1:25" ht="12" customHeight="1" x14ac:dyDescent="0.15">
      <c r="A183" s="3">
        <v>0</v>
      </c>
      <c r="B183" s="4">
        <v>162</v>
      </c>
      <c r="C183" s="14" t="str">
        <f t="shared" si="14"/>
        <v>Federation</v>
      </c>
      <c r="D183" s="3" t="s">
        <v>25</v>
      </c>
      <c r="E183" s="14">
        <f t="shared" si="18"/>
        <v>5</v>
      </c>
      <c r="F183" s="4">
        <v>3</v>
      </c>
      <c r="H183" s="4">
        <f t="shared" si="16"/>
        <v>8</v>
      </c>
      <c r="I183" s="4" t="str">
        <f t="shared" si="19"/>
        <v/>
      </c>
      <c r="J183" s="16" t="s">
        <v>436</v>
      </c>
      <c r="K183" s="4" t="s">
        <v>7</v>
      </c>
      <c r="N183" s="16" t="s">
        <v>319</v>
      </c>
      <c r="O183" s="4" t="str">
        <f t="shared" si="15"/>
        <v/>
      </c>
      <c r="P183" s="4">
        <v>1</v>
      </c>
      <c r="Q183" s="4">
        <v>0</v>
      </c>
      <c r="R183" s="4">
        <v>0</v>
      </c>
      <c r="S183" s="4" t="s">
        <v>143</v>
      </c>
      <c r="T183" s="4" t="s">
        <v>143</v>
      </c>
      <c r="U183" s="4" t="s">
        <v>143</v>
      </c>
      <c r="W183" s="3" t="s">
        <v>319</v>
      </c>
      <c r="X183" s="3" t="s">
        <v>178</v>
      </c>
      <c r="Y183" s="4">
        <f t="shared" si="17"/>
        <v>162</v>
      </c>
    </row>
    <row r="184" spans="1:25" ht="12" customHeight="1" x14ac:dyDescent="0.15">
      <c r="A184" s="3">
        <v>0</v>
      </c>
      <c r="B184" s="4">
        <v>162</v>
      </c>
      <c r="C184" s="14" t="str">
        <f t="shared" si="14"/>
        <v>Federation</v>
      </c>
      <c r="D184" s="3" t="s">
        <v>127</v>
      </c>
      <c r="E184" s="14">
        <f t="shared" si="18"/>
        <v>5</v>
      </c>
      <c r="F184" s="4">
        <v>3</v>
      </c>
      <c r="H184" s="4">
        <f t="shared" si="16"/>
        <v>8</v>
      </c>
      <c r="I184" s="4" t="str">
        <f t="shared" si="19"/>
        <v/>
      </c>
      <c r="J184" s="16" t="s">
        <v>436</v>
      </c>
      <c r="K184" s="16" t="s">
        <v>176</v>
      </c>
      <c r="L184" s="16"/>
      <c r="M184" s="16"/>
      <c r="N184" s="16" t="s">
        <v>548</v>
      </c>
      <c r="O184" s="4" t="str">
        <f t="shared" si="15"/>
        <v/>
      </c>
      <c r="P184" s="4">
        <v>4</v>
      </c>
      <c r="W184" s="3" t="s">
        <v>228</v>
      </c>
      <c r="X184" s="5" t="s">
        <v>225</v>
      </c>
      <c r="Y184" s="4">
        <f t="shared" si="17"/>
        <v>162</v>
      </c>
    </row>
    <row r="185" spans="1:25" x14ac:dyDescent="0.15">
      <c r="B185" s="4">
        <v>163</v>
      </c>
      <c r="C185" s="14" t="str">
        <f t="shared" si="14"/>
        <v>Federation</v>
      </c>
      <c r="D185" s="18" t="s">
        <v>485</v>
      </c>
      <c r="E185" s="14">
        <f t="shared" si="18"/>
        <v>7</v>
      </c>
      <c r="F185" s="4">
        <v>1</v>
      </c>
      <c r="G185" s="4">
        <v>1</v>
      </c>
      <c r="H185" s="4">
        <f t="shared" si="16"/>
        <v>9</v>
      </c>
      <c r="I185" s="4" t="str">
        <f t="shared" si="19"/>
        <v/>
      </c>
      <c r="J185" s="16" t="s">
        <v>436</v>
      </c>
      <c r="K185" s="16" t="s">
        <v>22</v>
      </c>
      <c r="L185" s="16"/>
      <c r="M185" s="16"/>
      <c r="N185" s="16"/>
      <c r="O185" s="4" t="str">
        <f t="shared" si="15"/>
        <v/>
      </c>
      <c r="P185" s="4" t="s">
        <v>401</v>
      </c>
      <c r="Q185" s="4">
        <v>0</v>
      </c>
      <c r="R185" s="4">
        <v>12</v>
      </c>
      <c r="S185" s="4">
        <v>0</v>
      </c>
      <c r="T185" s="4">
        <v>0</v>
      </c>
      <c r="U185" s="4">
        <v>0</v>
      </c>
      <c r="V185" s="4">
        <v>1</v>
      </c>
      <c r="W185" s="18" t="s">
        <v>401</v>
      </c>
      <c r="Y185" s="4">
        <f t="shared" si="17"/>
        <v>163</v>
      </c>
    </row>
    <row r="186" spans="1:25" ht="12" customHeight="1" x14ac:dyDescent="0.15">
      <c r="B186" s="4">
        <v>166</v>
      </c>
      <c r="C186" s="14" t="str">
        <f t="shared" si="14"/>
        <v>Federation</v>
      </c>
      <c r="D186" s="3" t="s">
        <v>307</v>
      </c>
      <c r="E186" s="14">
        <f t="shared" si="18"/>
        <v>3</v>
      </c>
      <c r="F186" s="4">
        <v>1</v>
      </c>
      <c r="G186" s="4">
        <v>2</v>
      </c>
      <c r="H186" s="4">
        <f t="shared" si="16"/>
        <v>6</v>
      </c>
      <c r="I186" s="4" t="str">
        <f t="shared" si="19"/>
        <v/>
      </c>
      <c r="J186" s="16" t="s">
        <v>436</v>
      </c>
      <c r="K186" s="4" t="s">
        <v>7</v>
      </c>
      <c r="L186" s="16" t="s">
        <v>553</v>
      </c>
      <c r="M186" s="16"/>
      <c r="N186" s="16" t="s">
        <v>556</v>
      </c>
      <c r="O186" s="4" t="str">
        <f t="shared" si="15"/>
        <v>Y</v>
      </c>
      <c r="P186" s="4">
        <v>8</v>
      </c>
      <c r="Q186" s="4">
        <v>6</v>
      </c>
      <c r="R186" s="4">
        <v>0</v>
      </c>
      <c r="S186" s="4" t="s">
        <v>418</v>
      </c>
      <c r="T186" s="4" t="s">
        <v>409</v>
      </c>
      <c r="U186" s="4" t="s">
        <v>411</v>
      </c>
      <c r="W186" s="3" t="s">
        <v>204</v>
      </c>
      <c r="X186" s="3" t="s">
        <v>182</v>
      </c>
      <c r="Y186" s="4">
        <f t="shared" si="17"/>
        <v>166</v>
      </c>
    </row>
    <row r="187" spans="1:25" ht="12" customHeight="1" x14ac:dyDescent="0.15">
      <c r="B187" s="4">
        <v>166</v>
      </c>
      <c r="C187" s="14" t="str">
        <f t="shared" si="14"/>
        <v>Federation</v>
      </c>
      <c r="D187" s="3" t="s">
        <v>189</v>
      </c>
      <c r="E187" s="14">
        <f t="shared" si="18"/>
        <v>3</v>
      </c>
      <c r="F187" s="4">
        <v>1</v>
      </c>
      <c r="G187" s="4">
        <v>1</v>
      </c>
      <c r="H187" s="4">
        <f t="shared" si="16"/>
        <v>5</v>
      </c>
      <c r="I187" s="4" t="str">
        <f t="shared" si="19"/>
        <v/>
      </c>
      <c r="J187" s="16" t="s">
        <v>436</v>
      </c>
      <c r="K187" s="4" t="s">
        <v>354</v>
      </c>
      <c r="O187" s="4" t="str">
        <f t="shared" si="15"/>
        <v>Y</v>
      </c>
      <c r="P187" s="4">
        <v>20</v>
      </c>
      <c r="Q187" s="4">
        <v>6</v>
      </c>
      <c r="R187" s="4">
        <v>6</v>
      </c>
      <c r="S187" s="4">
        <v>5</v>
      </c>
      <c r="T187" s="4">
        <v>5</v>
      </c>
      <c r="U187" s="4">
        <v>8</v>
      </c>
      <c r="V187" s="4">
        <v>5</v>
      </c>
      <c r="W187" s="18" t="s">
        <v>460</v>
      </c>
      <c r="X187" s="3" t="s">
        <v>147</v>
      </c>
      <c r="Y187" s="4">
        <f t="shared" si="17"/>
        <v>166</v>
      </c>
    </row>
    <row r="188" spans="1:25" ht="12" customHeight="1" x14ac:dyDescent="0.15">
      <c r="A188" s="3">
        <v>0</v>
      </c>
      <c r="B188" s="4">
        <v>166</v>
      </c>
      <c r="C188" s="14" t="str">
        <f t="shared" si="14"/>
        <v>Federation</v>
      </c>
      <c r="D188" s="3" t="s">
        <v>135</v>
      </c>
      <c r="E188" s="14">
        <f t="shared" si="18"/>
        <v>3</v>
      </c>
      <c r="F188" s="4">
        <v>2</v>
      </c>
      <c r="H188" s="4">
        <f t="shared" si="16"/>
        <v>5</v>
      </c>
      <c r="I188" s="4" t="str">
        <f t="shared" si="19"/>
        <v/>
      </c>
      <c r="J188" s="16" t="s">
        <v>436</v>
      </c>
      <c r="K188" s="16" t="s">
        <v>176</v>
      </c>
      <c r="L188" s="16"/>
      <c r="M188" s="16"/>
      <c r="N188" s="16" t="s">
        <v>550</v>
      </c>
      <c r="O188" s="4" t="str">
        <f t="shared" si="15"/>
        <v/>
      </c>
      <c r="P188" s="4">
        <v>4</v>
      </c>
      <c r="W188" s="3" t="s">
        <v>205</v>
      </c>
      <c r="X188" s="5" t="s">
        <v>260</v>
      </c>
      <c r="Y188" s="4">
        <f t="shared" si="17"/>
        <v>166</v>
      </c>
    </row>
    <row r="189" spans="1:25" ht="12" customHeight="1" x14ac:dyDescent="0.15">
      <c r="B189" s="4">
        <v>167</v>
      </c>
      <c r="C189" s="14" t="str">
        <f t="shared" si="14"/>
        <v>Federation</v>
      </c>
      <c r="D189" s="3" t="s">
        <v>137</v>
      </c>
      <c r="E189" s="14">
        <f t="shared" si="18"/>
        <v>4</v>
      </c>
      <c r="F189" s="4">
        <v>1</v>
      </c>
      <c r="G189" s="4">
        <v>1</v>
      </c>
      <c r="H189" s="4">
        <f t="shared" si="16"/>
        <v>6</v>
      </c>
      <c r="I189" s="4" t="str">
        <f t="shared" si="19"/>
        <v/>
      </c>
      <c r="J189" s="16" t="s">
        <v>436</v>
      </c>
      <c r="K189" s="4" t="s">
        <v>7</v>
      </c>
      <c r="L189" s="16" t="s">
        <v>137</v>
      </c>
      <c r="M189" s="16"/>
      <c r="O189" s="4" t="str">
        <f t="shared" si="15"/>
        <v/>
      </c>
      <c r="P189" s="4">
        <v>1</v>
      </c>
      <c r="Q189" s="4">
        <v>0</v>
      </c>
      <c r="R189" s="4">
        <v>3</v>
      </c>
      <c r="S189" s="4" t="s">
        <v>143</v>
      </c>
      <c r="T189" s="4" t="s">
        <v>143</v>
      </c>
      <c r="U189" s="4" t="s">
        <v>143</v>
      </c>
      <c r="W189" s="3" t="s">
        <v>429</v>
      </c>
      <c r="X189" s="3" t="s">
        <v>143</v>
      </c>
      <c r="Y189" s="4">
        <f t="shared" si="17"/>
        <v>167</v>
      </c>
    </row>
    <row r="190" spans="1:25" ht="12" customHeight="1" x14ac:dyDescent="0.15">
      <c r="A190" s="3">
        <v>0</v>
      </c>
      <c r="B190" s="4">
        <v>167</v>
      </c>
      <c r="C190" s="14" t="str">
        <f t="shared" si="14"/>
        <v>Federation</v>
      </c>
      <c r="D190" s="3" t="s">
        <v>316</v>
      </c>
      <c r="E190" s="14">
        <f t="shared" si="18"/>
        <v>4</v>
      </c>
      <c r="F190" s="4">
        <v>1</v>
      </c>
      <c r="H190" s="4">
        <f t="shared" si="16"/>
        <v>5</v>
      </c>
      <c r="I190" s="4" t="str">
        <f t="shared" si="19"/>
        <v/>
      </c>
      <c r="J190" s="16" t="s">
        <v>436</v>
      </c>
      <c r="K190" s="4" t="s">
        <v>7</v>
      </c>
      <c r="N190" s="16" t="s">
        <v>179</v>
      </c>
      <c r="O190" s="4" t="str">
        <f t="shared" si="15"/>
        <v>Y</v>
      </c>
      <c r="P190" s="4">
        <v>4</v>
      </c>
      <c r="Q190" s="4">
        <v>1</v>
      </c>
      <c r="R190" s="4">
        <v>0</v>
      </c>
      <c r="S190" s="4" t="s">
        <v>143</v>
      </c>
      <c r="T190" s="4" t="s">
        <v>143</v>
      </c>
      <c r="U190" s="4" t="s">
        <v>143</v>
      </c>
      <c r="W190" s="3" t="s">
        <v>164</v>
      </c>
      <c r="X190" s="3" t="s">
        <v>218</v>
      </c>
      <c r="Y190" s="4">
        <f t="shared" si="17"/>
        <v>167</v>
      </c>
    </row>
    <row r="191" spans="1:25" ht="12" customHeight="1" x14ac:dyDescent="0.15">
      <c r="B191" s="4">
        <v>167</v>
      </c>
      <c r="C191" s="14" t="str">
        <f t="shared" si="14"/>
        <v>Federation</v>
      </c>
      <c r="D191" s="3" t="s">
        <v>21</v>
      </c>
      <c r="E191" s="14">
        <f t="shared" si="18"/>
        <v>4</v>
      </c>
      <c r="F191" s="4">
        <v>1</v>
      </c>
      <c r="G191" s="4">
        <v>1</v>
      </c>
      <c r="H191" s="4">
        <f t="shared" si="16"/>
        <v>6</v>
      </c>
      <c r="I191" s="4" t="str">
        <f t="shared" si="19"/>
        <v/>
      </c>
      <c r="J191" s="16" t="s">
        <v>436</v>
      </c>
      <c r="K191" s="4" t="s">
        <v>7</v>
      </c>
      <c r="L191" s="16" t="s">
        <v>21</v>
      </c>
      <c r="M191" s="16"/>
      <c r="O191" s="4" t="str">
        <f t="shared" si="15"/>
        <v/>
      </c>
      <c r="P191" s="4">
        <v>0</v>
      </c>
      <c r="Q191" s="4">
        <v>0</v>
      </c>
      <c r="R191" s="4">
        <v>3</v>
      </c>
      <c r="S191" s="4" t="s">
        <v>143</v>
      </c>
      <c r="T191" s="4" t="s">
        <v>143</v>
      </c>
      <c r="U191" s="4" t="s">
        <v>143</v>
      </c>
      <c r="W191" s="3" t="s">
        <v>428</v>
      </c>
      <c r="X191" s="3" t="s">
        <v>143</v>
      </c>
      <c r="Y191" s="4">
        <f t="shared" si="17"/>
        <v>167</v>
      </c>
    </row>
    <row r="192" spans="1:25" ht="12" customHeight="1" x14ac:dyDescent="0.15">
      <c r="A192" s="3">
        <v>0</v>
      </c>
      <c r="B192" s="4">
        <v>167</v>
      </c>
      <c r="C192" s="14" t="str">
        <f t="shared" si="14"/>
        <v>Federation</v>
      </c>
      <c r="D192" s="3" t="s">
        <v>136</v>
      </c>
      <c r="E192" s="14">
        <f t="shared" si="18"/>
        <v>4</v>
      </c>
      <c r="F192" s="16">
        <v>2</v>
      </c>
      <c r="H192" s="4">
        <f t="shared" si="16"/>
        <v>6</v>
      </c>
      <c r="I192" s="4" t="str">
        <f t="shared" si="19"/>
        <v/>
      </c>
      <c r="J192" s="16" t="s">
        <v>436</v>
      </c>
      <c r="K192" s="16" t="s">
        <v>176</v>
      </c>
      <c r="L192" s="13"/>
      <c r="M192" s="13"/>
      <c r="N192" s="13" t="s">
        <v>549</v>
      </c>
      <c r="O192" s="4" t="str">
        <f t="shared" si="15"/>
        <v/>
      </c>
      <c r="P192" s="4">
        <v>3</v>
      </c>
      <c r="W192" s="3" t="s">
        <v>233</v>
      </c>
      <c r="X192" s="3" t="s">
        <v>301</v>
      </c>
      <c r="Y192" s="4">
        <f t="shared" si="17"/>
        <v>167</v>
      </c>
    </row>
    <row r="193" spans="1:25" x14ac:dyDescent="0.15">
      <c r="B193" s="4">
        <v>168</v>
      </c>
      <c r="C193" s="14" t="str">
        <f t="shared" si="14"/>
        <v>Federation</v>
      </c>
      <c r="D193" s="18" t="s">
        <v>496</v>
      </c>
      <c r="E193" s="14">
        <f t="shared" si="18"/>
        <v>4</v>
      </c>
      <c r="F193" s="4">
        <v>1</v>
      </c>
      <c r="G193" s="4">
        <v>1</v>
      </c>
      <c r="H193" s="4">
        <f t="shared" si="16"/>
        <v>6</v>
      </c>
      <c r="I193" s="4" t="str">
        <f t="shared" si="19"/>
        <v/>
      </c>
      <c r="J193" s="16" t="s">
        <v>436</v>
      </c>
      <c r="K193" s="16" t="s">
        <v>22</v>
      </c>
      <c r="L193" s="16"/>
      <c r="M193" s="16"/>
      <c r="N193" s="16"/>
      <c r="O193" s="4" t="str">
        <f t="shared" si="15"/>
        <v/>
      </c>
      <c r="P193" s="4" t="s">
        <v>401</v>
      </c>
      <c r="W193" s="18" t="s">
        <v>401</v>
      </c>
      <c r="Y193" s="4">
        <f t="shared" si="17"/>
        <v>168</v>
      </c>
    </row>
    <row r="194" spans="1:25" ht="12" customHeight="1" x14ac:dyDescent="0.15">
      <c r="B194" s="4">
        <v>171</v>
      </c>
      <c r="C194" s="14" t="str">
        <f t="shared" ref="C194:C241" si="20">VLOOKUP(B194,FLATNUM,5,FALSE)</f>
        <v>Romulan</v>
      </c>
      <c r="D194" s="3" t="s">
        <v>124</v>
      </c>
      <c r="E194" s="14">
        <f t="shared" si="18"/>
        <v>4</v>
      </c>
      <c r="F194" s="4">
        <v>1</v>
      </c>
      <c r="G194" s="4">
        <v>1</v>
      </c>
      <c r="H194" s="4">
        <f t="shared" si="16"/>
        <v>6</v>
      </c>
      <c r="I194" s="4" t="str">
        <f t="shared" si="19"/>
        <v/>
      </c>
      <c r="J194" s="16" t="s">
        <v>436</v>
      </c>
      <c r="K194" s="4" t="s">
        <v>7</v>
      </c>
      <c r="L194" s="16" t="s">
        <v>553</v>
      </c>
      <c r="N194" s="16" t="s">
        <v>556</v>
      </c>
      <c r="O194" s="4" t="str">
        <f t="shared" ref="O194:O241" si="21">IF(IFERROR(SEARCH("unique",W194),-1)=-1,"","Y")</f>
        <v>Y</v>
      </c>
      <c r="P194" s="4">
        <v>8</v>
      </c>
      <c r="Q194" s="4">
        <v>5</v>
      </c>
      <c r="R194" s="4">
        <v>1</v>
      </c>
      <c r="S194" s="4" t="s">
        <v>417</v>
      </c>
      <c r="T194" s="4" t="s">
        <v>414</v>
      </c>
      <c r="U194" s="4" t="s">
        <v>409</v>
      </c>
      <c r="W194" s="3" t="s">
        <v>204</v>
      </c>
      <c r="X194" s="3" t="s">
        <v>368</v>
      </c>
      <c r="Y194" s="4">
        <f t="shared" si="17"/>
        <v>171</v>
      </c>
    </row>
    <row r="195" spans="1:25" ht="12" customHeight="1" x14ac:dyDescent="0.15">
      <c r="B195" s="4">
        <v>171</v>
      </c>
      <c r="C195" s="14" t="str">
        <f t="shared" si="20"/>
        <v>Romulan</v>
      </c>
      <c r="D195" s="3" t="s">
        <v>199</v>
      </c>
      <c r="E195" s="14">
        <f t="shared" si="18"/>
        <v>4</v>
      </c>
      <c r="F195" s="4">
        <v>1</v>
      </c>
      <c r="G195" s="4">
        <v>1</v>
      </c>
      <c r="H195" s="4">
        <f t="shared" ref="H195:H241" si="22">E195+F195+G195</f>
        <v>6</v>
      </c>
      <c r="I195" s="4" t="str">
        <f t="shared" si="19"/>
        <v/>
      </c>
      <c r="J195" s="16" t="s">
        <v>436</v>
      </c>
      <c r="K195" s="4" t="s">
        <v>354</v>
      </c>
      <c r="O195" s="4" t="str">
        <f t="shared" si="21"/>
        <v>Y</v>
      </c>
      <c r="P195" s="4">
        <v>21</v>
      </c>
      <c r="Q195" s="4">
        <v>6</v>
      </c>
      <c r="R195" s="4">
        <v>5</v>
      </c>
      <c r="S195" s="4">
        <v>4</v>
      </c>
      <c r="T195" s="4">
        <v>5</v>
      </c>
      <c r="U195" s="4">
        <v>6</v>
      </c>
      <c r="V195" s="4">
        <v>5</v>
      </c>
      <c r="W195" s="18" t="s">
        <v>476</v>
      </c>
      <c r="X195" s="3" t="s">
        <v>196</v>
      </c>
      <c r="Y195" s="4">
        <f t="shared" ref="Y195:Y241" si="23">B195</f>
        <v>171</v>
      </c>
    </row>
    <row r="196" spans="1:25" ht="12" customHeight="1" x14ac:dyDescent="0.15">
      <c r="B196" s="4">
        <v>171</v>
      </c>
      <c r="C196" s="14" t="str">
        <f t="shared" si="20"/>
        <v>Romulan</v>
      </c>
      <c r="D196" s="3" t="s">
        <v>123</v>
      </c>
      <c r="E196" s="14">
        <f t="shared" si="18"/>
        <v>4</v>
      </c>
      <c r="F196" s="4">
        <v>2</v>
      </c>
      <c r="H196" s="4">
        <f t="shared" si="22"/>
        <v>6</v>
      </c>
      <c r="I196" s="4" t="str">
        <f t="shared" si="19"/>
        <v/>
      </c>
      <c r="J196" s="16" t="s">
        <v>436</v>
      </c>
      <c r="K196" s="16" t="s">
        <v>176</v>
      </c>
      <c r="L196" s="16"/>
      <c r="M196" s="16"/>
      <c r="N196" s="16"/>
      <c r="O196" s="4" t="str">
        <f t="shared" si="21"/>
        <v/>
      </c>
      <c r="P196" s="4">
        <v>0</v>
      </c>
      <c r="W196" s="3" t="s">
        <v>176</v>
      </c>
      <c r="X196" s="3" t="s">
        <v>123</v>
      </c>
      <c r="Y196" s="4">
        <f t="shared" si="23"/>
        <v>171</v>
      </c>
    </row>
    <row r="197" spans="1:25" ht="12" customHeight="1" x14ac:dyDescent="0.15">
      <c r="B197" s="4">
        <v>172</v>
      </c>
      <c r="C197" s="14" t="str">
        <f t="shared" si="20"/>
        <v>Romulan</v>
      </c>
      <c r="D197" s="3" t="s">
        <v>76</v>
      </c>
      <c r="E197" s="14">
        <f t="shared" si="18"/>
        <v>5</v>
      </c>
      <c r="F197" s="4">
        <v>2</v>
      </c>
      <c r="H197" s="4">
        <f t="shared" si="22"/>
        <v>7</v>
      </c>
      <c r="I197" s="4" t="str">
        <f t="shared" si="19"/>
        <v/>
      </c>
      <c r="J197" s="16" t="s">
        <v>436</v>
      </c>
      <c r="K197" s="4" t="s">
        <v>7</v>
      </c>
      <c r="L197" s="16" t="s">
        <v>21</v>
      </c>
      <c r="M197" s="16"/>
      <c r="O197" s="4" t="str">
        <f t="shared" si="21"/>
        <v/>
      </c>
      <c r="P197" s="4">
        <v>1</v>
      </c>
      <c r="Q197" s="4">
        <v>1</v>
      </c>
      <c r="R197" s="4">
        <v>3</v>
      </c>
      <c r="S197" s="4" t="s">
        <v>143</v>
      </c>
      <c r="T197" s="4" t="s">
        <v>143</v>
      </c>
      <c r="U197" s="4" t="s">
        <v>143</v>
      </c>
      <c r="W197" s="3" t="s">
        <v>21</v>
      </c>
      <c r="X197" s="3" t="s">
        <v>158</v>
      </c>
      <c r="Y197" s="4">
        <f t="shared" si="23"/>
        <v>172</v>
      </c>
    </row>
    <row r="198" spans="1:25" ht="12" customHeight="1" x14ac:dyDescent="0.15">
      <c r="B198" s="4">
        <v>172</v>
      </c>
      <c r="C198" s="14" t="str">
        <f t="shared" si="20"/>
        <v>Romulan</v>
      </c>
      <c r="D198" s="3" t="s">
        <v>125</v>
      </c>
      <c r="E198" s="14">
        <f t="shared" si="18"/>
        <v>5</v>
      </c>
      <c r="F198" s="4">
        <v>1</v>
      </c>
      <c r="G198" s="4">
        <v>1</v>
      </c>
      <c r="H198" s="4">
        <f t="shared" si="22"/>
        <v>7</v>
      </c>
      <c r="I198" s="4" t="str">
        <f t="shared" si="19"/>
        <v/>
      </c>
      <c r="J198" s="16" t="s">
        <v>436</v>
      </c>
      <c r="K198" s="4" t="s">
        <v>7</v>
      </c>
      <c r="N198" s="16" t="s">
        <v>554</v>
      </c>
      <c r="O198" s="4" t="str">
        <f t="shared" si="21"/>
        <v>Y</v>
      </c>
      <c r="P198" s="4">
        <v>2</v>
      </c>
      <c r="Q198" s="4">
        <v>2</v>
      </c>
      <c r="R198" s="4">
        <v>1</v>
      </c>
      <c r="S198" s="4" t="s">
        <v>414</v>
      </c>
      <c r="T198" s="4" t="s">
        <v>143</v>
      </c>
      <c r="U198" s="4" t="s">
        <v>143</v>
      </c>
      <c r="W198" s="3" t="s">
        <v>219</v>
      </c>
      <c r="X198" s="3" t="s">
        <v>218</v>
      </c>
      <c r="Y198" s="4">
        <f t="shared" si="23"/>
        <v>172</v>
      </c>
    </row>
    <row r="199" spans="1:25" ht="12" customHeight="1" x14ac:dyDescent="0.15">
      <c r="B199" s="4">
        <v>172</v>
      </c>
      <c r="C199" s="14" t="str">
        <f t="shared" si="20"/>
        <v>Romulan</v>
      </c>
      <c r="D199" s="3" t="s">
        <v>126</v>
      </c>
      <c r="E199" s="14">
        <f t="shared" si="18"/>
        <v>5</v>
      </c>
      <c r="F199" s="4">
        <v>2</v>
      </c>
      <c r="H199" s="4">
        <f t="shared" si="22"/>
        <v>7</v>
      </c>
      <c r="I199" s="4" t="str">
        <f t="shared" si="19"/>
        <v/>
      </c>
      <c r="J199" s="16" t="s">
        <v>436</v>
      </c>
      <c r="K199" s="4" t="s">
        <v>7</v>
      </c>
      <c r="M199" s="16" t="s">
        <v>562</v>
      </c>
      <c r="N199" s="16" t="s">
        <v>179</v>
      </c>
      <c r="O199" s="4" t="str">
        <f t="shared" si="21"/>
        <v/>
      </c>
      <c r="P199" s="4">
        <v>2</v>
      </c>
      <c r="Q199" s="4">
        <v>2</v>
      </c>
      <c r="R199" s="4">
        <v>2</v>
      </c>
      <c r="S199" s="4" t="s">
        <v>411</v>
      </c>
      <c r="T199" s="4" t="s">
        <v>143</v>
      </c>
      <c r="U199" s="4" t="s">
        <v>143</v>
      </c>
      <c r="W199" s="3" t="s">
        <v>221</v>
      </c>
      <c r="X199" s="3" t="s">
        <v>220</v>
      </c>
      <c r="Y199" s="4">
        <f t="shared" si="23"/>
        <v>172</v>
      </c>
    </row>
    <row r="200" spans="1:25" ht="12" customHeight="1" x14ac:dyDescent="0.15">
      <c r="B200" s="4">
        <v>172</v>
      </c>
      <c r="C200" s="14" t="str">
        <f t="shared" si="20"/>
        <v>Romulan</v>
      </c>
      <c r="D200" s="3" t="s">
        <v>127</v>
      </c>
      <c r="E200" s="14">
        <f t="shared" si="18"/>
        <v>5</v>
      </c>
      <c r="F200" s="4">
        <v>2</v>
      </c>
      <c r="H200" s="4">
        <f t="shared" si="22"/>
        <v>7</v>
      </c>
      <c r="I200" s="4" t="str">
        <f t="shared" si="19"/>
        <v/>
      </c>
      <c r="J200" s="16" t="s">
        <v>436</v>
      </c>
      <c r="K200" s="16" t="s">
        <v>176</v>
      </c>
      <c r="L200" s="16"/>
      <c r="M200" s="16"/>
      <c r="N200" s="16" t="s">
        <v>548</v>
      </c>
      <c r="O200" s="4" t="str">
        <f t="shared" si="21"/>
        <v/>
      </c>
      <c r="P200" s="4">
        <v>4</v>
      </c>
      <c r="W200" s="3" t="s">
        <v>228</v>
      </c>
      <c r="X200" s="5" t="s">
        <v>225</v>
      </c>
      <c r="Y200" s="4">
        <f t="shared" si="23"/>
        <v>172</v>
      </c>
    </row>
    <row r="201" spans="1:25" x14ac:dyDescent="0.15">
      <c r="B201" s="4">
        <v>173</v>
      </c>
      <c r="C201" s="14" t="str">
        <f t="shared" si="20"/>
        <v>Romulan</v>
      </c>
      <c r="D201" s="18" t="s">
        <v>481</v>
      </c>
      <c r="E201" s="14">
        <f t="shared" si="18"/>
        <v>8</v>
      </c>
      <c r="F201" s="4">
        <v>1</v>
      </c>
      <c r="G201" s="4">
        <v>1</v>
      </c>
      <c r="H201" s="4">
        <f t="shared" si="22"/>
        <v>10</v>
      </c>
      <c r="I201" s="4" t="str">
        <f t="shared" si="19"/>
        <v/>
      </c>
      <c r="J201" s="16" t="s">
        <v>436</v>
      </c>
      <c r="K201" s="16" t="s">
        <v>22</v>
      </c>
      <c r="L201" s="16"/>
      <c r="M201" s="16"/>
      <c r="N201" s="16"/>
      <c r="O201" s="4" t="str">
        <f t="shared" si="21"/>
        <v/>
      </c>
      <c r="P201" s="4" t="s">
        <v>401</v>
      </c>
      <c r="W201" s="18" t="s">
        <v>401</v>
      </c>
      <c r="Y201" s="4">
        <f t="shared" si="23"/>
        <v>173</v>
      </c>
    </row>
    <row r="202" spans="1:25" ht="12" customHeight="1" x14ac:dyDescent="0.15">
      <c r="B202" s="4">
        <v>176</v>
      </c>
      <c r="C202" s="14" t="str">
        <f t="shared" si="20"/>
        <v>Romulan</v>
      </c>
      <c r="D202" s="3" t="s">
        <v>211</v>
      </c>
      <c r="E202" s="14">
        <f t="shared" si="18"/>
        <v>6</v>
      </c>
      <c r="F202" s="4">
        <v>1</v>
      </c>
      <c r="G202" s="4">
        <v>1</v>
      </c>
      <c r="H202" s="4">
        <f t="shared" si="22"/>
        <v>8</v>
      </c>
      <c r="I202" s="4" t="str">
        <f t="shared" si="19"/>
        <v/>
      </c>
      <c r="J202" s="16" t="s">
        <v>436</v>
      </c>
      <c r="K202" s="4" t="s">
        <v>7</v>
      </c>
      <c r="L202" s="16" t="s">
        <v>553</v>
      </c>
      <c r="N202" s="16" t="s">
        <v>555</v>
      </c>
      <c r="O202" s="4" t="str">
        <f t="shared" si="21"/>
        <v>Y</v>
      </c>
      <c r="P202" s="4">
        <v>7</v>
      </c>
      <c r="Q202" s="4">
        <v>5</v>
      </c>
      <c r="R202" s="4">
        <v>1</v>
      </c>
      <c r="S202" s="4" t="s">
        <v>416</v>
      </c>
      <c r="T202" s="4" t="s">
        <v>421</v>
      </c>
      <c r="U202" s="4" t="s">
        <v>143</v>
      </c>
      <c r="W202" s="3" t="s">
        <v>172</v>
      </c>
      <c r="X202" s="3" t="s">
        <v>334</v>
      </c>
      <c r="Y202" s="4">
        <f t="shared" si="23"/>
        <v>176</v>
      </c>
    </row>
    <row r="203" spans="1:25" ht="12" customHeight="1" x14ac:dyDescent="0.15">
      <c r="B203" s="4">
        <v>176</v>
      </c>
      <c r="C203" s="14" t="str">
        <f t="shared" si="20"/>
        <v>Romulan</v>
      </c>
      <c r="D203" s="3" t="s">
        <v>194</v>
      </c>
      <c r="E203" s="14">
        <f t="shared" si="18"/>
        <v>6</v>
      </c>
      <c r="F203" s="4">
        <v>1</v>
      </c>
      <c r="G203" s="4">
        <v>1</v>
      </c>
      <c r="H203" s="4">
        <f t="shared" si="22"/>
        <v>8</v>
      </c>
      <c r="I203" s="4" t="str">
        <f t="shared" si="19"/>
        <v/>
      </c>
      <c r="J203" s="16" t="s">
        <v>436</v>
      </c>
      <c r="K203" s="4" t="s">
        <v>354</v>
      </c>
      <c r="O203" s="4" t="str">
        <f t="shared" si="21"/>
        <v>Y</v>
      </c>
      <c r="P203" s="4">
        <v>23</v>
      </c>
      <c r="Q203" s="4">
        <v>6</v>
      </c>
      <c r="R203" s="4">
        <v>6</v>
      </c>
      <c r="S203" s="4">
        <v>5</v>
      </c>
      <c r="T203" s="4">
        <v>5</v>
      </c>
      <c r="U203" s="4">
        <v>8</v>
      </c>
      <c r="V203" s="4">
        <v>5</v>
      </c>
      <c r="W203" s="18" t="s">
        <v>475</v>
      </c>
      <c r="X203" s="3" t="s">
        <v>372</v>
      </c>
      <c r="Y203" s="4">
        <f t="shared" si="23"/>
        <v>176</v>
      </c>
    </row>
    <row r="204" spans="1:25" ht="12" customHeight="1" x14ac:dyDescent="0.15">
      <c r="B204" s="4">
        <v>176</v>
      </c>
      <c r="C204" s="14" t="str">
        <f t="shared" si="20"/>
        <v>Romulan</v>
      </c>
      <c r="D204" s="3" t="s">
        <v>352</v>
      </c>
      <c r="E204" s="14">
        <f t="shared" si="18"/>
        <v>6</v>
      </c>
      <c r="F204" s="4">
        <v>2</v>
      </c>
      <c r="H204" s="4">
        <f t="shared" si="22"/>
        <v>8</v>
      </c>
      <c r="I204" s="4" t="str">
        <f t="shared" si="19"/>
        <v/>
      </c>
      <c r="J204" s="16" t="s">
        <v>436</v>
      </c>
      <c r="K204" s="16" t="s">
        <v>176</v>
      </c>
      <c r="L204" s="16"/>
      <c r="M204" s="16"/>
      <c r="N204" s="16" t="s">
        <v>8</v>
      </c>
      <c r="O204" s="4" t="str">
        <f t="shared" si="21"/>
        <v/>
      </c>
      <c r="P204" s="4">
        <v>1</v>
      </c>
      <c r="W204" s="3" t="s">
        <v>154</v>
      </c>
      <c r="X204" s="5" t="s">
        <v>156</v>
      </c>
      <c r="Y204" s="4">
        <f t="shared" si="23"/>
        <v>176</v>
      </c>
    </row>
    <row r="205" spans="1:25" ht="12" customHeight="1" x14ac:dyDescent="0.15">
      <c r="B205" s="4">
        <v>177</v>
      </c>
      <c r="C205" s="14" t="str">
        <f t="shared" si="20"/>
        <v>Romulan</v>
      </c>
      <c r="D205" s="3" t="s">
        <v>21</v>
      </c>
      <c r="E205" s="14">
        <f t="shared" si="18"/>
        <v>4</v>
      </c>
      <c r="F205" s="4">
        <v>2</v>
      </c>
      <c r="H205" s="4">
        <f t="shared" si="22"/>
        <v>6</v>
      </c>
      <c r="I205" s="4" t="str">
        <f t="shared" si="19"/>
        <v/>
      </c>
      <c r="J205" s="16" t="s">
        <v>436</v>
      </c>
      <c r="K205" s="4" t="s">
        <v>7</v>
      </c>
      <c r="L205" s="16" t="s">
        <v>21</v>
      </c>
      <c r="M205" s="16"/>
      <c r="O205" s="4" t="str">
        <f t="shared" si="21"/>
        <v/>
      </c>
      <c r="P205" s="4">
        <v>0</v>
      </c>
      <c r="Q205" s="4">
        <v>0</v>
      </c>
      <c r="R205" s="4">
        <v>3</v>
      </c>
      <c r="S205" s="4" t="s">
        <v>143</v>
      </c>
      <c r="T205" s="4" t="s">
        <v>143</v>
      </c>
      <c r="U205" s="4" t="s">
        <v>143</v>
      </c>
      <c r="W205" s="3" t="s">
        <v>428</v>
      </c>
      <c r="X205" s="3" t="s">
        <v>143</v>
      </c>
      <c r="Y205" s="4">
        <f t="shared" si="23"/>
        <v>177</v>
      </c>
    </row>
    <row r="206" spans="1:25" ht="12" customHeight="1" x14ac:dyDescent="0.15">
      <c r="A206" s="3">
        <v>0</v>
      </c>
      <c r="B206" s="4">
        <v>177</v>
      </c>
      <c r="C206" s="14" t="str">
        <f t="shared" si="20"/>
        <v>Romulan</v>
      </c>
      <c r="D206" s="3" t="s">
        <v>130</v>
      </c>
      <c r="E206" s="14">
        <f t="shared" si="18"/>
        <v>4</v>
      </c>
      <c r="F206" s="4">
        <v>1</v>
      </c>
      <c r="H206" s="4">
        <f t="shared" si="22"/>
        <v>5</v>
      </c>
      <c r="I206" s="4" t="str">
        <f t="shared" si="19"/>
        <v/>
      </c>
      <c r="J206" s="16" t="s">
        <v>436</v>
      </c>
      <c r="K206" s="4" t="s">
        <v>7</v>
      </c>
      <c r="L206" s="16" t="s">
        <v>553</v>
      </c>
      <c r="M206" s="16"/>
      <c r="N206" s="16" t="s">
        <v>82</v>
      </c>
      <c r="O206" s="4" t="str">
        <f t="shared" si="21"/>
        <v>Y</v>
      </c>
      <c r="P206" s="4">
        <v>4</v>
      </c>
      <c r="Q206" s="4">
        <v>3</v>
      </c>
      <c r="R206" s="4">
        <v>1</v>
      </c>
      <c r="S206" s="4" t="s">
        <v>143</v>
      </c>
      <c r="T206" s="4" t="s">
        <v>143</v>
      </c>
      <c r="U206" s="4" t="s">
        <v>143</v>
      </c>
      <c r="W206" s="3" t="s">
        <v>169</v>
      </c>
      <c r="X206" s="3" t="s">
        <v>217</v>
      </c>
      <c r="Y206" s="4">
        <f t="shared" si="23"/>
        <v>177</v>
      </c>
    </row>
    <row r="207" spans="1:25" ht="12" customHeight="1" x14ac:dyDescent="0.15">
      <c r="B207" s="4">
        <v>177</v>
      </c>
      <c r="C207" s="14" t="str">
        <f t="shared" si="20"/>
        <v>Romulan</v>
      </c>
      <c r="D207" s="3" t="s">
        <v>131</v>
      </c>
      <c r="E207" s="14">
        <f t="shared" si="18"/>
        <v>4</v>
      </c>
      <c r="F207" s="4">
        <v>2</v>
      </c>
      <c r="H207" s="4">
        <f t="shared" si="22"/>
        <v>6</v>
      </c>
      <c r="I207" s="4" t="str">
        <f t="shared" si="19"/>
        <v/>
      </c>
      <c r="J207" s="16" t="s">
        <v>436</v>
      </c>
      <c r="K207" s="4" t="s">
        <v>7</v>
      </c>
      <c r="L207" s="16" t="s">
        <v>137</v>
      </c>
      <c r="M207" s="16"/>
      <c r="O207" s="4" t="str">
        <f t="shared" si="21"/>
        <v/>
      </c>
      <c r="P207" s="4">
        <v>1</v>
      </c>
      <c r="Q207" s="4">
        <v>0</v>
      </c>
      <c r="R207" s="4">
        <v>3</v>
      </c>
      <c r="S207" s="4" t="s">
        <v>143</v>
      </c>
      <c r="T207" s="4" t="s">
        <v>143</v>
      </c>
      <c r="U207" s="4" t="s">
        <v>143</v>
      </c>
      <c r="W207" s="3" t="s">
        <v>429</v>
      </c>
      <c r="X207" s="3" t="s">
        <v>143</v>
      </c>
      <c r="Y207" s="4">
        <f t="shared" si="23"/>
        <v>177</v>
      </c>
    </row>
    <row r="208" spans="1:25" ht="12" customHeight="1" x14ac:dyDescent="0.15">
      <c r="B208" s="4">
        <v>177</v>
      </c>
      <c r="C208" s="14" t="str">
        <f t="shared" si="20"/>
        <v>Romulan</v>
      </c>
      <c r="D208" s="3" t="s">
        <v>294</v>
      </c>
      <c r="E208" s="14">
        <f t="shared" si="18"/>
        <v>4</v>
      </c>
      <c r="F208" s="4">
        <v>2</v>
      </c>
      <c r="H208" s="4">
        <f t="shared" si="22"/>
        <v>6</v>
      </c>
      <c r="I208" s="4" t="str">
        <f t="shared" si="19"/>
        <v/>
      </c>
      <c r="J208" s="16" t="s">
        <v>436</v>
      </c>
      <c r="K208" s="16" t="s">
        <v>176</v>
      </c>
      <c r="L208" s="16"/>
      <c r="M208" s="16"/>
      <c r="N208" s="16" t="s">
        <v>545</v>
      </c>
      <c r="O208" s="4" t="str">
        <f t="shared" si="21"/>
        <v/>
      </c>
      <c r="P208" s="4">
        <v>3</v>
      </c>
      <c r="W208" s="3" t="s">
        <v>264</v>
      </c>
      <c r="X208" s="3" t="s">
        <v>295</v>
      </c>
      <c r="Y208" s="4">
        <f t="shared" si="23"/>
        <v>177</v>
      </c>
    </row>
    <row r="209" spans="2:25" x14ac:dyDescent="0.15">
      <c r="B209" s="4">
        <v>178</v>
      </c>
      <c r="C209" s="14" t="str">
        <f t="shared" si="20"/>
        <v>Romulan</v>
      </c>
      <c r="D209" s="18" t="s">
        <v>568</v>
      </c>
      <c r="E209" s="14">
        <f t="shared" si="18"/>
        <v>5</v>
      </c>
      <c r="F209" s="4">
        <v>1</v>
      </c>
      <c r="G209" s="4">
        <v>1</v>
      </c>
      <c r="H209" s="4">
        <f t="shared" si="22"/>
        <v>7</v>
      </c>
      <c r="I209" s="4" t="str">
        <f t="shared" si="19"/>
        <v/>
      </c>
      <c r="J209" s="16" t="s">
        <v>436</v>
      </c>
      <c r="K209" s="16" t="s">
        <v>22</v>
      </c>
      <c r="L209" s="16"/>
      <c r="M209" s="16"/>
      <c r="N209" s="16"/>
      <c r="O209" s="4" t="str">
        <f t="shared" si="21"/>
        <v/>
      </c>
      <c r="P209" s="4" t="s">
        <v>401</v>
      </c>
      <c r="Q209" s="4">
        <v>5</v>
      </c>
      <c r="R209" s="4">
        <v>5</v>
      </c>
      <c r="S209" s="4">
        <v>0</v>
      </c>
      <c r="T209" s="4">
        <v>0</v>
      </c>
      <c r="U209" s="4">
        <v>0</v>
      </c>
      <c r="V209" s="4">
        <v>1</v>
      </c>
      <c r="W209" s="18" t="s">
        <v>401</v>
      </c>
      <c r="Y209" s="4">
        <f t="shared" si="23"/>
        <v>178</v>
      </c>
    </row>
    <row r="210" spans="2:25" ht="12" customHeight="1" x14ac:dyDescent="0.15">
      <c r="B210" s="4">
        <v>181</v>
      </c>
      <c r="C210" s="14" t="str">
        <f t="shared" si="20"/>
        <v>Klingon</v>
      </c>
      <c r="D210" s="3" t="s">
        <v>239</v>
      </c>
      <c r="E210" s="14">
        <f t="shared" si="18"/>
        <v>9</v>
      </c>
      <c r="F210" s="4">
        <v>1</v>
      </c>
      <c r="H210" s="4">
        <v>9</v>
      </c>
      <c r="I210" s="4" t="str">
        <f t="shared" si="19"/>
        <v/>
      </c>
      <c r="J210" s="16" t="s">
        <v>436</v>
      </c>
      <c r="K210" s="4" t="s">
        <v>7</v>
      </c>
      <c r="L210" s="16" t="s">
        <v>553</v>
      </c>
      <c r="M210" s="16"/>
      <c r="N210" s="16" t="s">
        <v>556</v>
      </c>
      <c r="O210" s="4" t="str">
        <f t="shared" si="21"/>
        <v>Y</v>
      </c>
      <c r="P210" s="4">
        <v>8</v>
      </c>
      <c r="Q210" s="4">
        <v>6</v>
      </c>
      <c r="R210" s="4">
        <v>3</v>
      </c>
      <c r="S210" s="4" t="s">
        <v>417</v>
      </c>
      <c r="T210" s="4" t="s">
        <v>414</v>
      </c>
      <c r="U210" s="4" t="s">
        <v>409</v>
      </c>
      <c r="W210" s="3" t="s">
        <v>204</v>
      </c>
      <c r="X210" s="3" t="s">
        <v>182</v>
      </c>
      <c r="Y210" s="4">
        <f t="shared" si="23"/>
        <v>181</v>
      </c>
    </row>
    <row r="211" spans="2:25" ht="12" customHeight="1" x14ac:dyDescent="0.15">
      <c r="B211" s="4">
        <v>181</v>
      </c>
      <c r="C211" s="14" t="str">
        <f t="shared" si="20"/>
        <v>Klingon</v>
      </c>
      <c r="D211" s="3" t="s">
        <v>72</v>
      </c>
      <c r="E211" s="14">
        <f t="shared" si="18"/>
        <v>9</v>
      </c>
      <c r="F211" s="4">
        <v>1</v>
      </c>
      <c r="H211" s="4">
        <v>9</v>
      </c>
      <c r="I211" s="4" t="str">
        <f t="shared" si="19"/>
        <v/>
      </c>
      <c r="J211" s="16" t="s">
        <v>436</v>
      </c>
      <c r="K211" s="4" t="s">
        <v>354</v>
      </c>
      <c r="O211" s="4" t="str">
        <f t="shared" si="21"/>
        <v>Y</v>
      </c>
      <c r="P211" s="4">
        <v>19</v>
      </c>
      <c r="Q211" s="4">
        <v>6</v>
      </c>
      <c r="R211" s="4">
        <v>6</v>
      </c>
      <c r="S211" s="4">
        <v>5</v>
      </c>
      <c r="T211" s="4">
        <v>5</v>
      </c>
      <c r="U211" s="4">
        <v>7</v>
      </c>
      <c r="V211" s="4">
        <v>5</v>
      </c>
      <c r="W211" s="18" t="s">
        <v>469</v>
      </c>
      <c r="X211" s="3" t="s">
        <v>386</v>
      </c>
      <c r="Y211" s="4">
        <f t="shared" si="23"/>
        <v>181</v>
      </c>
    </row>
    <row r="212" spans="2:25" ht="12" customHeight="1" x14ac:dyDescent="0.15">
      <c r="B212" s="4">
        <v>181</v>
      </c>
      <c r="C212" s="14" t="str">
        <f t="shared" si="20"/>
        <v>Klingon</v>
      </c>
      <c r="D212" s="3" t="s">
        <v>348</v>
      </c>
      <c r="E212" s="14">
        <f t="shared" si="18"/>
        <v>9</v>
      </c>
      <c r="F212" s="4">
        <v>2</v>
      </c>
      <c r="H212" s="4">
        <f t="shared" si="22"/>
        <v>11</v>
      </c>
      <c r="I212" s="4" t="str">
        <f t="shared" si="19"/>
        <v/>
      </c>
      <c r="J212" s="16" t="s">
        <v>436</v>
      </c>
      <c r="K212" s="16" t="s">
        <v>176</v>
      </c>
      <c r="L212" s="16"/>
      <c r="M212" s="16"/>
      <c r="N212" s="16" t="s">
        <v>545</v>
      </c>
      <c r="O212" s="4" t="str">
        <f t="shared" si="21"/>
        <v/>
      </c>
      <c r="P212" s="4">
        <v>4</v>
      </c>
      <c r="W212" s="3" t="s">
        <v>264</v>
      </c>
      <c r="X212" s="3" t="s">
        <v>152</v>
      </c>
      <c r="Y212" s="4">
        <f t="shared" si="23"/>
        <v>181</v>
      </c>
    </row>
    <row r="213" spans="2:25" ht="12" customHeight="1" x14ac:dyDescent="0.15">
      <c r="B213" s="4">
        <v>182</v>
      </c>
      <c r="C213" s="14" t="str">
        <f t="shared" si="20"/>
        <v>Klingon</v>
      </c>
      <c r="D213" s="3" t="s">
        <v>80</v>
      </c>
      <c r="E213" s="14">
        <f t="shared" si="18"/>
        <v>8</v>
      </c>
      <c r="F213" s="4">
        <v>2</v>
      </c>
      <c r="H213" s="4">
        <f t="shared" si="22"/>
        <v>10</v>
      </c>
      <c r="I213" s="4" t="str">
        <f t="shared" si="19"/>
        <v/>
      </c>
      <c r="J213" s="16" t="s">
        <v>436</v>
      </c>
      <c r="K213" s="4" t="s">
        <v>7</v>
      </c>
      <c r="N213" s="16" t="s">
        <v>179</v>
      </c>
      <c r="O213" s="4" t="str">
        <f t="shared" si="21"/>
        <v/>
      </c>
      <c r="P213" s="4">
        <v>2</v>
      </c>
      <c r="Q213" s="4">
        <v>2</v>
      </c>
      <c r="R213" s="4">
        <v>3</v>
      </c>
      <c r="S213" s="4" t="s">
        <v>143</v>
      </c>
      <c r="T213" s="4" t="s">
        <v>143</v>
      </c>
      <c r="U213" s="4" t="s">
        <v>143</v>
      </c>
      <c r="W213" s="3" t="s">
        <v>179</v>
      </c>
      <c r="X213" s="3" t="s">
        <v>270</v>
      </c>
      <c r="Y213" s="4">
        <f t="shared" si="23"/>
        <v>182</v>
      </c>
    </row>
    <row r="214" spans="2:25" ht="12" customHeight="1" x14ac:dyDescent="0.15">
      <c r="B214" s="4">
        <v>182</v>
      </c>
      <c r="C214" s="14" t="str">
        <f t="shared" si="20"/>
        <v>Klingon</v>
      </c>
      <c r="D214" s="3" t="s">
        <v>81</v>
      </c>
      <c r="E214" s="14">
        <f t="shared" si="18"/>
        <v>8</v>
      </c>
      <c r="F214" s="4">
        <v>2</v>
      </c>
      <c r="H214" s="4">
        <f t="shared" si="22"/>
        <v>10</v>
      </c>
      <c r="I214" s="4" t="str">
        <f t="shared" si="19"/>
        <v/>
      </c>
      <c r="J214" s="16" t="s">
        <v>436</v>
      </c>
      <c r="K214" s="4" t="s">
        <v>7</v>
      </c>
      <c r="L214" s="16" t="s">
        <v>137</v>
      </c>
      <c r="M214" s="16"/>
      <c r="O214" s="4" t="str">
        <f t="shared" si="21"/>
        <v/>
      </c>
      <c r="P214" s="4">
        <v>2</v>
      </c>
      <c r="Q214" s="4">
        <v>1</v>
      </c>
      <c r="R214" s="4">
        <v>3</v>
      </c>
      <c r="S214" s="4" t="s">
        <v>143</v>
      </c>
      <c r="T214" s="4" t="s">
        <v>143</v>
      </c>
      <c r="U214" s="4" t="s">
        <v>143</v>
      </c>
      <c r="W214" s="3" t="s">
        <v>137</v>
      </c>
      <c r="X214" s="3" t="s">
        <v>158</v>
      </c>
      <c r="Y214" s="4">
        <f t="shared" si="23"/>
        <v>182</v>
      </c>
    </row>
    <row r="215" spans="2:25" ht="12" customHeight="1" x14ac:dyDescent="0.15">
      <c r="B215" s="4">
        <v>182</v>
      </c>
      <c r="C215" s="14" t="str">
        <f t="shared" si="20"/>
        <v>Klingon</v>
      </c>
      <c r="D215" s="3" t="s">
        <v>79</v>
      </c>
      <c r="E215" s="14">
        <f t="shared" si="18"/>
        <v>8</v>
      </c>
      <c r="F215" s="4">
        <v>1</v>
      </c>
      <c r="H215" s="4">
        <v>8</v>
      </c>
      <c r="I215" s="4" t="str">
        <f t="shared" si="19"/>
        <v/>
      </c>
      <c r="J215" s="16" t="s">
        <v>436</v>
      </c>
      <c r="K215" s="4" t="s">
        <v>7</v>
      </c>
      <c r="L215" s="16" t="s">
        <v>553</v>
      </c>
      <c r="M215" s="16"/>
      <c r="N215" s="16" t="s">
        <v>82</v>
      </c>
      <c r="O215" s="4" t="str">
        <f t="shared" si="21"/>
        <v>Y</v>
      </c>
      <c r="P215" s="4">
        <v>4</v>
      </c>
      <c r="Q215" s="4">
        <v>3</v>
      </c>
      <c r="R215" s="4">
        <v>1</v>
      </c>
      <c r="S215" s="4" t="s">
        <v>409</v>
      </c>
      <c r="T215" s="4" t="s">
        <v>414</v>
      </c>
      <c r="U215" s="4" t="s">
        <v>143</v>
      </c>
      <c r="W215" s="3" t="s">
        <v>169</v>
      </c>
      <c r="X215" s="3" t="s">
        <v>278</v>
      </c>
      <c r="Y215" s="4">
        <f t="shared" si="23"/>
        <v>182</v>
      </c>
    </row>
    <row r="216" spans="2:25" ht="12" customHeight="1" x14ac:dyDescent="0.15">
      <c r="B216" s="4">
        <v>182</v>
      </c>
      <c r="C216" s="14" t="str">
        <f t="shared" si="20"/>
        <v>Klingon</v>
      </c>
      <c r="D216" s="3" t="s">
        <v>261</v>
      </c>
      <c r="E216" s="14">
        <f t="shared" si="18"/>
        <v>8</v>
      </c>
      <c r="F216" s="4">
        <v>2</v>
      </c>
      <c r="H216" s="4">
        <f t="shared" si="22"/>
        <v>10</v>
      </c>
      <c r="I216" s="4" t="str">
        <f t="shared" si="19"/>
        <v/>
      </c>
      <c r="J216" s="16" t="s">
        <v>436</v>
      </c>
      <c r="K216" s="16" t="s">
        <v>176</v>
      </c>
      <c r="L216" s="16"/>
      <c r="M216" s="16"/>
      <c r="N216" s="16" t="s">
        <v>550</v>
      </c>
      <c r="O216" s="4" t="str">
        <f t="shared" si="21"/>
        <v/>
      </c>
      <c r="P216" s="4">
        <v>3</v>
      </c>
      <c r="W216" s="3" t="s">
        <v>205</v>
      </c>
      <c r="X216" s="5" t="s">
        <v>262</v>
      </c>
      <c r="Y216" s="4">
        <f t="shared" si="23"/>
        <v>182</v>
      </c>
    </row>
    <row r="217" spans="2:25" x14ac:dyDescent="0.15">
      <c r="B217" s="4">
        <v>183</v>
      </c>
      <c r="C217" s="14" t="str">
        <f t="shared" si="20"/>
        <v>Klingon</v>
      </c>
      <c r="D217" s="18" t="s">
        <v>486</v>
      </c>
      <c r="E217" s="14">
        <f t="shared" si="18"/>
        <v>8</v>
      </c>
      <c r="F217" s="4">
        <v>1</v>
      </c>
      <c r="G217" s="4">
        <v>1</v>
      </c>
      <c r="H217" s="4">
        <f t="shared" si="22"/>
        <v>10</v>
      </c>
      <c r="I217" s="4" t="str">
        <f t="shared" si="19"/>
        <v/>
      </c>
      <c r="J217" s="16" t="s">
        <v>436</v>
      </c>
      <c r="K217" s="16" t="s">
        <v>22</v>
      </c>
      <c r="L217" s="16"/>
      <c r="M217" s="16"/>
      <c r="N217" s="16"/>
      <c r="O217" s="4" t="str">
        <f t="shared" si="21"/>
        <v/>
      </c>
      <c r="P217" s="4" t="s">
        <v>401</v>
      </c>
      <c r="W217" s="18" t="s">
        <v>401</v>
      </c>
      <c r="Y217" s="4">
        <f t="shared" si="23"/>
        <v>183</v>
      </c>
    </row>
    <row r="218" spans="2:25" ht="12" customHeight="1" x14ac:dyDescent="0.15">
      <c r="B218" s="4">
        <v>186</v>
      </c>
      <c r="C218" s="14" t="str">
        <f t="shared" si="20"/>
        <v>Klingon</v>
      </c>
      <c r="D218" s="3" t="s">
        <v>133</v>
      </c>
      <c r="E218" s="14">
        <f t="shared" ref="E218:E241" si="24">VLOOKUP(B218,FLATNUM,6,FALSE)</f>
        <v>8</v>
      </c>
      <c r="F218" s="4">
        <v>1</v>
      </c>
      <c r="H218" s="4">
        <v>7</v>
      </c>
      <c r="I218" s="4" t="str">
        <f t="shared" si="19"/>
        <v/>
      </c>
      <c r="J218" s="16" t="s">
        <v>436</v>
      </c>
      <c r="K218" s="4" t="s">
        <v>7</v>
      </c>
      <c r="L218" s="16" t="s">
        <v>553</v>
      </c>
      <c r="M218" s="16"/>
      <c r="N218" s="16" t="s">
        <v>555</v>
      </c>
      <c r="O218" s="4" t="str">
        <f t="shared" si="21"/>
        <v>Y</v>
      </c>
      <c r="P218" s="4">
        <v>7</v>
      </c>
      <c r="Q218" s="4">
        <v>5</v>
      </c>
      <c r="R218" s="4">
        <v>3</v>
      </c>
      <c r="S218" s="4" t="s">
        <v>421</v>
      </c>
      <c r="T218" s="4" t="s">
        <v>414</v>
      </c>
      <c r="U218" s="4" t="s">
        <v>409</v>
      </c>
      <c r="W218" s="3" t="s">
        <v>172</v>
      </c>
      <c r="X218" s="3" t="s">
        <v>339</v>
      </c>
      <c r="Y218" s="4">
        <f t="shared" si="23"/>
        <v>186</v>
      </c>
    </row>
    <row r="219" spans="2:25" ht="12" customHeight="1" x14ac:dyDescent="0.15">
      <c r="B219" s="4">
        <v>186</v>
      </c>
      <c r="C219" s="14" t="str">
        <f t="shared" si="20"/>
        <v>Klingon</v>
      </c>
      <c r="D219" s="3" t="s">
        <v>132</v>
      </c>
      <c r="E219" s="14">
        <f t="shared" si="24"/>
        <v>8</v>
      </c>
      <c r="F219" s="4">
        <v>1</v>
      </c>
      <c r="H219" s="4">
        <v>7</v>
      </c>
      <c r="I219" s="4" t="str">
        <f t="shared" ref="I219:I241" si="25">IF(AND(O219&lt;&gt;"Y",K219&lt;&gt;"Scenario"),"",IF(F219&lt;2,"",F219-1))</f>
        <v/>
      </c>
      <c r="J219" s="16" t="s">
        <v>436</v>
      </c>
      <c r="K219" s="4" t="s">
        <v>354</v>
      </c>
      <c r="O219" s="4" t="str">
        <f t="shared" si="21"/>
        <v>Y</v>
      </c>
      <c r="P219" s="4">
        <v>17</v>
      </c>
      <c r="Q219" s="4">
        <v>5</v>
      </c>
      <c r="R219" s="4">
        <v>5</v>
      </c>
      <c r="S219" s="4">
        <v>5</v>
      </c>
      <c r="T219" s="4">
        <v>4</v>
      </c>
      <c r="U219" s="4">
        <v>5</v>
      </c>
      <c r="V219" s="4">
        <v>5</v>
      </c>
      <c r="W219" s="18" t="s">
        <v>471</v>
      </c>
      <c r="X219" s="3" t="s">
        <v>377</v>
      </c>
      <c r="Y219" s="4">
        <f t="shared" si="23"/>
        <v>186</v>
      </c>
    </row>
    <row r="220" spans="2:25" ht="12" customHeight="1" x14ac:dyDescent="0.15">
      <c r="B220" s="4">
        <v>186</v>
      </c>
      <c r="C220" s="14" t="str">
        <f t="shared" si="20"/>
        <v>Klingon</v>
      </c>
      <c r="D220" s="3" t="s">
        <v>127</v>
      </c>
      <c r="E220" s="14">
        <f t="shared" si="24"/>
        <v>8</v>
      </c>
      <c r="F220" s="4">
        <v>2</v>
      </c>
      <c r="H220" s="4">
        <f t="shared" si="22"/>
        <v>10</v>
      </c>
      <c r="I220" s="4" t="str">
        <f t="shared" si="25"/>
        <v/>
      </c>
      <c r="J220" s="16" t="s">
        <v>436</v>
      </c>
      <c r="K220" s="16" t="s">
        <v>176</v>
      </c>
      <c r="L220" s="16"/>
      <c r="M220" s="16"/>
      <c r="N220" s="16" t="s">
        <v>548</v>
      </c>
      <c r="O220" s="4" t="str">
        <f t="shared" si="21"/>
        <v/>
      </c>
      <c r="P220" s="4">
        <v>4</v>
      </c>
      <c r="W220" s="3" t="s">
        <v>228</v>
      </c>
      <c r="X220" s="5" t="s">
        <v>225</v>
      </c>
      <c r="Y220" s="4">
        <f t="shared" si="23"/>
        <v>186</v>
      </c>
    </row>
    <row r="221" spans="2:25" ht="12" customHeight="1" x14ac:dyDescent="0.15">
      <c r="B221" s="4">
        <v>187</v>
      </c>
      <c r="C221" s="14" t="str">
        <f t="shared" si="20"/>
        <v>Klingon</v>
      </c>
      <c r="D221" s="3" t="s">
        <v>284</v>
      </c>
      <c r="E221" s="14">
        <f t="shared" si="24"/>
        <v>7</v>
      </c>
      <c r="F221" s="4">
        <v>1</v>
      </c>
      <c r="H221" s="4">
        <v>7</v>
      </c>
      <c r="I221" s="4" t="str">
        <f t="shared" si="25"/>
        <v/>
      </c>
      <c r="J221" s="16" t="s">
        <v>436</v>
      </c>
      <c r="K221" s="4" t="s">
        <v>7</v>
      </c>
      <c r="L221" s="16" t="s">
        <v>553</v>
      </c>
      <c r="M221" s="16"/>
      <c r="N221" s="16" t="s">
        <v>86</v>
      </c>
      <c r="O221" s="4" t="str">
        <f t="shared" si="21"/>
        <v>Y</v>
      </c>
      <c r="P221" s="4">
        <v>4</v>
      </c>
      <c r="Q221" s="4">
        <v>3</v>
      </c>
      <c r="R221" s="4">
        <v>3</v>
      </c>
      <c r="S221" s="4" t="s">
        <v>409</v>
      </c>
      <c r="T221" s="4" t="s">
        <v>411</v>
      </c>
      <c r="U221" s="4" t="s">
        <v>414</v>
      </c>
      <c r="W221" s="3" t="s">
        <v>167</v>
      </c>
      <c r="X221" s="3" t="s">
        <v>285</v>
      </c>
      <c r="Y221" s="4">
        <f t="shared" si="23"/>
        <v>187</v>
      </c>
    </row>
    <row r="222" spans="2:25" ht="12" customHeight="1" x14ac:dyDescent="0.15">
      <c r="B222" s="4">
        <v>187</v>
      </c>
      <c r="C222" s="14" t="str">
        <f t="shared" si="20"/>
        <v>Klingon</v>
      </c>
      <c r="D222" s="3" t="s">
        <v>21</v>
      </c>
      <c r="E222" s="14">
        <f t="shared" si="24"/>
        <v>7</v>
      </c>
      <c r="F222" s="4">
        <v>2</v>
      </c>
      <c r="H222" s="4">
        <f t="shared" si="22"/>
        <v>9</v>
      </c>
      <c r="I222" s="4" t="str">
        <f t="shared" si="25"/>
        <v/>
      </c>
      <c r="J222" s="16" t="s">
        <v>436</v>
      </c>
      <c r="K222" s="4" t="s">
        <v>7</v>
      </c>
      <c r="L222" s="16" t="s">
        <v>21</v>
      </c>
      <c r="M222" s="16"/>
      <c r="O222" s="4" t="str">
        <f t="shared" si="21"/>
        <v/>
      </c>
      <c r="P222" s="4">
        <v>0</v>
      </c>
      <c r="Q222" s="4">
        <v>0</v>
      </c>
      <c r="R222" s="4">
        <v>3</v>
      </c>
      <c r="S222" s="4" t="s">
        <v>143</v>
      </c>
      <c r="T222" s="4" t="s">
        <v>143</v>
      </c>
      <c r="U222" s="4" t="s">
        <v>143</v>
      </c>
      <c r="W222" s="3" t="s">
        <v>428</v>
      </c>
      <c r="X222" s="3" t="s">
        <v>143</v>
      </c>
      <c r="Y222" s="4">
        <f t="shared" si="23"/>
        <v>187</v>
      </c>
    </row>
    <row r="223" spans="2:25" ht="12" customHeight="1" x14ac:dyDescent="0.15">
      <c r="B223" s="4">
        <v>187</v>
      </c>
      <c r="C223" s="14" t="str">
        <f t="shared" si="20"/>
        <v>Klingon</v>
      </c>
      <c r="D223" s="3" t="s">
        <v>134</v>
      </c>
      <c r="E223" s="14">
        <f t="shared" si="24"/>
        <v>7</v>
      </c>
      <c r="F223" s="4">
        <v>2</v>
      </c>
      <c r="H223" s="4">
        <f t="shared" si="22"/>
        <v>9</v>
      </c>
      <c r="I223" s="4" t="str">
        <f t="shared" si="25"/>
        <v/>
      </c>
      <c r="J223" s="16" t="s">
        <v>436</v>
      </c>
      <c r="K223" s="4" t="s">
        <v>7</v>
      </c>
      <c r="L223" s="16" t="s">
        <v>137</v>
      </c>
      <c r="M223" s="16"/>
      <c r="O223" s="4" t="str">
        <f t="shared" si="21"/>
        <v/>
      </c>
      <c r="P223" s="4">
        <v>1</v>
      </c>
      <c r="Q223" s="4">
        <v>0</v>
      </c>
      <c r="R223" s="4">
        <v>3</v>
      </c>
      <c r="S223" s="4" t="s">
        <v>143</v>
      </c>
      <c r="T223" s="4" t="s">
        <v>143</v>
      </c>
      <c r="U223" s="4" t="s">
        <v>143</v>
      </c>
      <c r="W223" s="3" t="s">
        <v>429</v>
      </c>
      <c r="X223" s="3" t="s">
        <v>143</v>
      </c>
      <c r="Y223" s="4">
        <f t="shared" si="23"/>
        <v>187</v>
      </c>
    </row>
    <row r="224" spans="2:25" ht="12" customHeight="1" x14ac:dyDescent="0.15">
      <c r="B224" s="4">
        <v>187</v>
      </c>
      <c r="C224" s="14" t="str">
        <f t="shared" si="20"/>
        <v>Klingon</v>
      </c>
      <c r="D224" s="3" t="s">
        <v>123</v>
      </c>
      <c r="E224" s="14">
        <f t="shared" si="24"/>
        <v>7</v>
      </c>
      <c r="F224" s="4">
        <v>2</v>
      </c>
      <c r="H224" s="4">
        <f t="shared" si="22"/>
        <v>9</v>
      </c>
      <c r="I224" s="4" t="str">
        <f t="shared" si="25"/>
        <v/>
      </c>
      <c r="J224" s="16" t="s">
        <v>436</v>
      </c>
      <c r="K224" s="16" t="s">
        <v>176</v>
      </c>
      <c r="L224" s="16"/>
      <c r="M224" s="16"/>
      <c r="N224" s="16"/>
      <c r="O224" s="4" t="str">
        <f t="shared" si="21"/>
        <v/>
      </c>
      <c r="P224" s="4">
        <v>5</v>
      </c>
      <c r="W224" s="3" t="s">
        <v>176</v>
      </c>
      <c r="X224" s="3" t="s">
        <v>123</v>
      </c>
      <c r="Y224" s="4">
        <f t="shared" si="23"/>
        <v>187</v>
      </c>
    </row>
    <row r="225" spans="2:25" x14ac:dyDescent="0.15">
      <c r="B225" s="4">
        <v>188</v>
      </c>
      <c r="C225" s="14" t="str">
        <f t="shared" si="20"/>
        <v>Klingon</v>
      </c>
      <c r="D225" s="18" t="s">
        <v>488</v>
      </c>
      <c r="E225" s="14">
        <f>VLOOKUP(B225,FLATNUM,6,FALSE)</f>
        <v>6</v>
      </c>
      <c r="F225" s="4">
        <v>1</v>
      </c>
      <c r="G225" s="4">
        <v>4</v>
      </c>
      <c r="H225" s="4">
        <f t="shared" si="22"/>
        <v>11</v>
      </c>
      <c r="I225" s="4" t="str">
        <f t="shared" si="25"/>
        <v/>
      </c>
      <c r="J225" s="16" t="s">
        <v>436</v>
      </c>
      <c r="K225" s="16" t="s">
        <v>22</v>
      </c>
      <c r="L225" s="16"/>
      <c r="M225" s="16"/>
      <c r="N225" s="16"/>
      <c r="O225" s="4" t="str">
        <f t="shared" si="21"/>
        <v/>
      </c>
      <c r="P225" s="4" t="s">
        <v>401</v>
      </c>
      <c r="Q225" s="4">
        <v>5</v>
      </c>
      <c r="R225" s="4">
        <v>5</v>
      </c>
      <c r="S225" s="4">
        <v>0</v>
      </c>
      <c r="T225" s="4">
        <v>0</v>
      </c>
      <c r="U225" s="4">
        <v>5</v>
      </c>
      <c r="V225" s="4">
        <v>0</v>
      </c>
      <c r="W225" s="18" t="s">
        <v>401</v>
      </c>
      <c r="Y225" s="4">
        <f t="shared" si="23"/>
        <v>188</v>
      </c>
    </row>
    <row r="226" spans="2:25" ht="12" customHeight="1" x14ac:dyDescent="0.15">
      <c r="B226" s="4">
        <v>191</v>
      </c>
      <c r="C226" s="14" t="str">
        <f t="shared" si="20"/>
        <v>Cardassian</v>
      </c>
      <c r="D226" s="3" t="s">
        <v>138</v>
      </c>
      <c r="E226" s="14">
        <f t="shared" si="24"/>
        <v>5</v>
      </c>
      <c r="F226" s="4">
        <v>1</v>
      </c>
      <c r="H226" s="4">
        <v>5</v>
      </c>
      <c r="I226" s="4" t="str">
        <f t="shared" si="25"/>
        <v/>
      </c>
      <c r="J226" s="16" t="s">
        <v>436</v>
      </c>
      <c r="K226" s="4" t="s">
        <v>7</v>
      </c>
      <c r="L226" s="16" t="s">
        <v>553</v>
      </c>
      <c r="M226" s="16"/>
      <c r="N226" s="16" t="s">
        <v>557</v>
      </c>
      <c r="O226" s="4" t="str">
        <f t="shared" si="21"/>
        <v>Y</v>
      </c>
      <c r="P226" s="4">
        <v>9</v>
      </c>
      <c r="Q226" s="4">
        <v>7</v>
      </c>
      <c r="R226" s="4">
        <v>0</v>
      </c>
      <c r="S226" s="31" t="s">
        <v>419</v>
      </c>
      <c r="T226" s="4" t="s">
        <v>420</v>
      </c>
      <c r="U226" s="4" t="s">
        <v>411</v>
      </c>
      <c r="W226" s="3" t="s">
        <v>141</v>
      </c>
      <c r="X226" s="3" t="s">
        <v>142</v>
      </c>
      <c r="Y226" s="4">
        <f t="shared" si="23"/>
        <v>191</v>
      </c>
    </row>
    <row r="227" spans="2:25" ht="12" customHeight="1" x14ac:dyDescent="0.15">
      <c r="B227" s="4">
        <v>191</v>
      </c>
      <c r="C227" s="14" t="str">
        <f t="shared" si="20"/>
        <v>Cardassian</v>
      </c>
      <c r="D227" s="3" t="s">
        <v>9</v>
      </c>
      <c r="E227" s="14">
        <f t="shared" si="24"/>
        <v>5</v>
      </c>
      <c r="F227" s="4">
        <v>1</v>
      </c>
      <c r="H227" s="4">
        <v>5</v>
      </c>
      <c r="I227" s="4" t="str">
        <f t="shared" si="25"/>
        <v/>
      </c>
      <c r="J227" s="16" t="s">
        <v>436</v>
      </c>
      <c r="K227" s="4" t="s">
        <v>354</v>
      </c>
      <c r="O227" s="4" t="str">
        <f t="shared" si="21"/>
        <v>Y</v>
      </c>
      <c r="P227" s="4">
        <v>19</v>
      </c>
      <c r="Q227" s="4">
        <v>6</v>
      </c>
      <c r="R227" s="4">
        <v>6</v>
      </c>
      <c r="S227" s="4">
        <v>5</v>
      </c>
      <c r="T227" s="4">
        <v>5</v>
      </c>
      <c r="U227" s="4">
        <v>7</v>
      </c>
      <c r="V227" s="4">
        <v>5</v>
      </c>
      <c r="W227" s="18" t="s">
        <v>454</v>
      </c>
      <c r="X227" s="3" t="s">
        <v>147</v>
      </c>
      <c r="Y227" s="4">
        <f t="shared" si="23"/>
        <v>191</v>
      </c>
    </row>
    <row r="228" spans="2:25" ht="12" customHeight="1" x14ac:dyDescent="0.15">
      <c r="B228" s="4">
        <v>191</v>
      </c>
      <c r="C228" s="14" t="str">
        <f t="shared" si="20"/>
        <v>Cardassian</v>
      </c>
      <c r="D228" s="3" t="s">
        <v>151</v>
      </c>
      <c r="E228" s="14">
        <f t="shared" si="24"/>
        <v>5</v>
      </c>
      <c r="F228" s="4">
        <v>2</v>
      </c>
      <c r="H228" s="4">
        <f t="shared" si="22"/>
        <v>7</v>
      </c>
      <c r="I228" s="4" t="str">
        <f t="shared" si="25"/>
        <v/>
      </c>
      <c r="J228" s="16" t="s">
        <v>436</v>
      </c>
      <c r="K228" s="16" t="s">
        <v>176</v>
      </c>
      <c r="L228" s="16"/>
      <c r="M228" s="16"/>
      <c r="N228" s="16" t="s">
        <v>550</v>
      </c>
      <c r="O228" s="4" t="str">
        <f t="shared" si="21"/>
        <v/>
      </c>
      <c r="P228" s="4">
        <v>4</v>
      </c>
      <c r="W228" s="3" t="s">
        <v>205</v>
      </c>
      <c r="X228" s="5" t="s">
        <v>260</v>
      </c>
      <c r="Y228" s="4">
        <f t="shared" si="23"/>
        <v>191</v>
      </c>
    </row>
    <row r="229" spans="2:25" ht="12" customHeight="1" x14ac:dyDescent="0.15">
      <c r="B229" s="4">
        <v>192</v>
      </c>
      <c r="C229" s="14" t="str">
        <f t="shared" si="20"/>
        <v>Cardassian</v>
      </c>
      <c r="D229" s="3" t="s">
        <v>20</v>
      </c>
      <c r="E229" s="14">
        <f t="shared" si="24"/>
        <v>4</v>
      </c>
      <c r="F229" s="4">
        <v>2</v>
      </c>
      <c r="H229" s="4">
        <f t="shared" si="22"/>
        <v>6</v>
      </c>
      <c r="I229" s="4" t="str">
        <f t="shared" si="25"/>
        <v/>
      </c>
      <c r="J229" s="16" t="s">
        <v>436</v>
      </c>
      <c r="K229" s="4" t="s">
        <v>7</v>
      </c>
      <c r="L229" s="16" t="s">
        <v>137</v>
      </c>
      <c r="M229" s="16"/>
      <c r="O229" s="4" t="str">
        <f t="shared" si="21"/>
        <v/>
      </c>
      <c r="P229" s="4">
        <v>1</v>
      </c>
      <c r="Q229" s="4">
        <v>0</v>
      </c>
      <c r="R229" s="4">
        <v>3</v>
      </c>
      <c r="S229" s="4" t="s">
        <v>143</v>
      </c>
      <c r="T229" s="4" t="s">
        <v>143</v>
      </c>
      <c r="U229" s="4" t="s">
        <v>143</v>
      </c>
      <c r="W229" s="3" t="s">
        <v>429</v>
      </c>
      <c r="X229" s="3" t="s">
        <v>143</v>
      </c>
      <c r="Y229" s="4">
        <f t="shared" si="23"/>
        <v>192</v>
      </c>
    </row>
    <row r="230" spans="2:25" ht="12" customHeight="1" x14ac:dyDescent="0.15">
      <c r="B230" s="4">
        <v>192</v>
      </c>
      <c r="C230" s="14" t="str">
        <f t="shared" si="20"/>
        <v>Cardassian</v>
      </c>
      <c r="D230" s="3" t="s">
        <v>21</v>
      </c>
      <c r="E230" s="14">
        <f t="shared" si="24"/>
        <v>4</v>
      </c>
      <c r="F230" s="4">
        <v>2</v>
      </c>
      <c r="H230" s="4">
        <f t="shared" si="22"/>
        <v>6</v>
      </c>
      <c r="I230" s="4" t="str">
        <f t="shared" si="25"/>
        <v/>
      </c>
      <c r="J230" s="16" t="s">
        <v>436</v>
      </c>
      <c r="K230" s="4" t="s">
        <v>7</v>
      </c>
      <c r="L230" s="16" t="s">
        <v>21</v>
      </c>
      <c r="M230" s="16"/>
      <c r="O230" s="4" t="str">
        <f t="shared" si="21"/>
        <v/>
      </c>
      <c r="P230" s="4">
        <v>0</v>
      </c>
      <c r="Q230" s="4">
        <v>0</v>
      </c>
      <c r="R230" s="4">
        <v>3</v>
      </c>
      <c r="S230" s="4" t="s">
        <v>143</v>
      </c>
      <c r="T230" s="4" t="s">
        <v>143</v>
      </c>
      <c r="U230" s="4" t="s">
        <v>143</v>
      </c>
      <c r="W230" s="3" t="s">
        <v>428</v>
      </c>
      <c r="X230" s="3" t="s">
        <v>143</v>
      </c>
      <c r="Y230" s="4">
        <f t="shared" si="23"/>
        <v>192</v>
      </c>
    </row>
    <row r="231" spans="2:25" ht="12" customHeight="1" x14ac:dyDescent="0.15">
      <c r="B231" s="4">
        <v>192</v>
      </c>
      <c r="C231" s="14" t="str">
        <f t="shared" si="20"/>
        <v>Cardassian</v>
      </c>
      <c r="D231" s="3" t="s">
        <v>18</v>
      </c>
      <c r="E231" s="14">
        <f t="shared" si="24"/>
        <v>4</v>
      </c>
      <c r="F231" s="4">
        <v>1</v>
      </c>
      <c r="H231" s="4">
        <v>5</v>
      </c>
      <c r="I231" s="4" t="str">
        <f t="shared" si="25"/>
        <v/>
      </c>
      <c r="J231" s="16" t="s">
        <v>436</v>
      </c>
      <c r="K231" s="4" t="s">
        <v>7</v>
      </c>
      <c r="L231" s="16" t="s">
        <v>553</v>
      </c>
      <c r="M231" s="16"/>
      <c r="N231" s="16" t="s">
        <v>82</v>
      </c>
      <c r="O231" s="4" t="str">
        <f t="shared" si="21"/>
        <v>Y</v>
      </c>
      <c r="P231" s="4">
        <v>4</v>
      </c>
      <c r="Q231" s="4">
        <v>3</v>
      </c>
      <c r="R231" s="4">
        <v>1</v>
      </c>
      <c r="S231" s="4" t="s">
        <v>143</v>
      </c>
      <c r="T231" s="4" t="s">
        <v>143</v>
      </c>
      <c r="U231" s="4" t="s">
        <v>143</v>
      </c>
      <c r="W231" s="3" t="s">
        <v>169</v>
      </c>
      <c r="X231" s="3" t="s">
        <v>168</v>
      </c>
      <c r="Y231" s="4">
        <f t="shared" si="23"/>
        <v>192</v>
      </c>
    </row>
    <row r="232" spans="2:25" ht="12" customHeight="1" x14ac:dyDescent="0.15">
      <c r="B232" s="4">
        <v>192</v>
      </c>
      <c r="C232" s="14" t="str">
        <f t="shared" si="20"/>
        <v>Cardassian</v>
      </c>
      <c r="D232" s="3" t="s">
        <v>19</v>
      </c>
      <c r="E232" s="14">
        <f t="shared" si="24"/>
        <v>4</v>
      </c>
      <c r="F232" s="4">
        <v>2</v>
      </c>
      <c r="H232" s="4">
        <f t="shared" si="22"/>
        <v>6</v>
      </c>
      <c r="I232" s="4" t="str">
        <f t="shared" si="25"/>
        <v/>
      </c>
      <c r="J232" s="16" t="s">
        <v>436</v>
      </c>
      <c r="K232" s="16" t="s">
        <v>176</v>
      </c>
      <c r="L232" s="16"/>
      <c r="M232" s="16"/>
      <c r="N232" s="16" t="s">
        <v>545</v>
      </c>
      <c r="O232" s="4" t="str">
        <f t="shared" si="21"/>
        <v/>
      </c>
      <c r="P232" s="4">
        <v>4</v>
      </c>
      <c r="W232" s="3" t="s">
        <v>264</v>
      </c>
      <c r="X232" s="3" t="s">
        <v>152</v>
      </c>
      <c r="Y232" s="4">
        <f t="shared" si="23"/>
        <v>192</v>
      </c>
    </row>
    <row r="233" spans="2:25" x14ac:dyDescent="0.15">
      <c r="B233" s="4">
        <v>193</v>
      </c>
      <c r="C233" s="14" t="str">
        <f t="shared" si="20"/>
        <v>Cardassian</v>
      </c>
      <c r="D233" s="18" t="s">
        <v>493</v>
      </c>
      <c r="E233" s="14">
        <f t="shared" si="24"/>
        <v>9</v>
      </c>
      <c r="F233" s="4">
        <v>1</v>
      </c>
      <c r="G233" s="4">
        <v>1</v>
      </c>
      <c r="H233" s="4">
        <f t="shared" si="22"/>
        <v>11</v>
      </c>
      <c r="I233" s="4" t="str">
        <f t="shared" si="25"/>
        <v/>
      </c>
      <c r="J233" s="16" t="s">
        <v>436</v>
      </c>
      <c r="K233" s="16" t="s">
        <v>22</v>
      </c>
      <c r="L233" s="16"/>
      <c r="M233" s="16"/>
      <c r="N233" s="16"/>
      <c r="O233" s="4" t="str">
        <f t="shared" si="21"/>
        <v/>
      </c>
      <c r="P233" s="4" t="s">
        <v>401</v>
      </c>
      <c r="W233" s="18" t="s">
        <v>401</v>
      </c>
      <c r="Y233" s="4">
        <f t="shared" si="23"/>
        <v>193</v>
      </c>
    </row>
    <row r="234" spans="2:25" ht="12" customHeight="1" x14ac:dyDescent="0.15">
      <c r="B234" s="4">
        <v>196</v>
      </c>
      <c r="C234" s="14" t="str">
        <f t="shared" si="20"/>
        <v>Ferengi</v>
      </c>
      <c r="D234" s="3" t="s">
        <v>118</v>
      </c>
      <c r="E234" s="14">
        <f t="shared" si="24"/>
        <v>6</v>
      </c>
      <c r="F234" s="4">
        <v>1</v>
      </c>
      <c r="G234" s="4">
        <v>2</v>
      </c>
      <c r="H234" s="4">
        <v>7</v>
      </c>
      <c r="I234" s="4" t="str">
        <f t="shared" si="25"/>
        <v/>
      </c>
      <c r="J234" s="16" t="s">
        <v>436</v>
      </c>
      <c r="K234" s="4" t="s">
        <v>7</v>
      </c>
      <c r="L234" s="16" t="s">
        <v>553</v>
      </c>
      <c r="M234" s="16"/>
      <c r="N234" s="16" t="s">
        <v>556</v>
      </c>
      <c r="O234" s="4" t="str">
        <f t="shared" si="21"/>
        <v>Y</v>
      </c>
      <c r="P234" s="4">
        <v>8</v>
      </c>
      <c r="Q234" s="4">
        <v>6</v>
      </c>
      <c r="R234" s="4">
        <v>1</v>
      </c>
      <c r="S234" s="31" t="s">
        <v>419</v>
      </c>
      <c r="T234" s="4" t="s">
        <v>414</v>
      </c>
      <c r="U234" s="4" t="s">
        <v>409</v>
      </c>
      <c r="W234" s="3" t="s">
        <v>204</v>
      </c>
      <c r="X234" s="3" t="s">
        <v>144</v>
      </c>
      <c r="Y234" s="4">
        <f t="shared" si="23"/>
        <v>196</v>
      </c>
    </row>
    <row r="235" spans="2:25" ht="12" customHeight="1" x14ac:dyDescent="0.15">
      <c r="B235" s="4">
        <v>196</v>
      </c>
      <c r="C235" s="14" t="str">
        <f t="shared" si="20"/>
        <v>Ferengi</v>
      </c>
      <c r="D235" s="3" t="s">
        <v>117</v>
      </c>
      <c r="E235" s="14">
        <f t="shared" si="24"/>
        <v>6</v>
      </c>
      <c r="F235" s="4">
        <v>1</v>
      </c>
      <c r="G235" s="4">
        <v>2</v>
      </c>
      <c r="H235" s="4">
        <v>7</v>
      </c>
      <c r="I235" s="4" t="str">
        <f t="shared" si="25"/>
        <v/>
      </c>
      <c r="J235" s="16" t="s">
        <v>436</v>
      </c>
      <c r="K235" s="4" t="s">
        <v>354</v>
      </c>
      <c r="O235" s="4" t="str">
        <f t="shared" si="21"/>
        <v>Y</v>
      </c>
      <c r="P235" s="4">
        <v>16</v>
      </c>
      <c r="Q235" s="4">
        <v>5</v>
      </c>
      <c r="R235" s="4">
        <v>5</v>
      </c>
      <c r="S235" s="4">
        <v>3</v>
      </c>
      <c r="T235" s="4">
        <v>4</v>
      </c>
      <c r="U235" s="4">
        <v>7</v>
      </c>
      <c r="V235" s="4">
        <v>5</v>
      </c>
      <c r="W235" s="18" t="s">
        <v>464</v>
      </c>
      <c r="X235" s="3" t="s">
        <v>385</v>
      </c>
      <c r="Y235" s="4">
        <f t="shared" si="23"/>
        <v>196</v>
      </c>
    </row>
    <row r="236" spans="2:25" ht="12" customHeight="1" x14ac:dyDescent="0.15">
      <c r="B236" s="4">
        <v>196</v>
      </c>
      <c r="C236" s="14" t="str">
        <f t="shared" si="20"/>
        <v>Ferengi</v>
      </c>
      <c r="D236" s="3" t="s">
        <v>62</v>
      </c>
      <c r="E236" s="14">
        <f t="shared" si="24"/>
        <v>6</v>
      </c>
      <c r="F236" s="4">
        <v>5</v>
      </c>
      <c r="H236" s="4">
        <f t="shared" si="22"/>
        <v>11</v>
      </c>
      <c r="I236" s="4" t="str">
        <f t="shared" si="25"/>
        <v/>
      </c>
      <c r="J236" s="16" t="s">
        <v>436</v>
      </c>
      <c r="K236" s="16" t="s">
        <v>176</v>
      </c>
      <c r="L236" s="16"/>
      <c r="M236" s="16"/>
      <c r="N236" s="16" t="s">
        <v>8</v>
      </c>
      <c r="O236" s="4" t="str">
        <f t="shared" si="21"/>
        <v/>
      </c>
      <c r="P236" s="4">
        <v>1</v>
      </c>
      <c r="W236" s="3" t="s">
        <v>154</v>
      </c>
      <c r="X236" s="5" t="s">
        <v>153</v>
      </c>
      <c r="Y236" s="4">
        <f t="shared" si="23"/>
        <v>196</v>
      </c>
    </row>
    <row r="237" spans="2:25" ht="12" customHeight="1" x14ac:dyDescent="0.15">
      <c r="B237" s="4">
        <v>197</v>
      </c>
      <c r="C237" s="14" t="str">
        <f t="shared" si="20"/>
        <v>Ferengi</v>
      </c>
      <c r="D237" s="3" t="s">
        <v>122</v>
      </c>
      <c r="E237" s="14">
        <f t="shared" si="24"/>
        <v>6</v>
      </c>
      <c r="F237" s="4">
        <v>4</v>
      </c>
      <c r="H237" s="4">
        <f t="shared" si="22"/>
        <v>10</v>
      </c>
      <c r="I237" s="4" t="str">
        <f t="shared" si="25"/>
        <v/>
      </c>
      <c r="J237" s="16" t="s">
        <v>436</v>
      </c>
      <c r="K237" s="4" t="s">
        <v>7</v>
      </c>
      <c r="N237" s="16" t="s">
        <v>179</v>
      </c>
      <c r="O237" s="4" t="str">
        <f t="shared" si="21"/>
        <v/>
      </c>
      <c r="P237" s="4">
        <v>1</v>
      </c>
      <c r="Q237" s="4">
        <v>0</v>
      </c>
      <c r="R237" s="4">
        <v>0</v>
      </c>
      <c r="S237" s="4" t="s">
        <v>143</v>
      </c>
      <c r="T237" s="4" t="s">
        <v>143</v>
      </c>
      <c r="U237" s="4" t="s">
        <v>143</v>
      </c>
      <c r="W237" s="3" t="s">
        <v>179</v>
      </c>
      <c r="X237" s="3" t="s">
        <v>178</v>
      </c>
      <c r="Y237" s="4">
        <f t="shared" si="23"/>
        <v>197</v>
      </c>
    </row>
    <row r="238" spans="2:25" ht="12" customHeight="1" x14ac:dyDescent="0.15">
      <c r="B238" s="4">
        <v>197</v>
      </c>
      <c r="C238" s="14" t="str">
        <f t="shared" si="20"/>
        <v>Ferengi</v>
      </c>
      <c r="D238" s="3" t="s">
        <v>119</v>
      </c>
      <c r="E238" s="14">
        <f t="shared" si="24"/>
        <v>6</v>
      </c>
      <c r="F238" s="4">
        <v>1</v>
      </c>
      <c r="G238" s="4">
        <v>1</v>
      </c>
      <c r="H238" s="4">
        <v>6</v>
      </c>
      <c r="I238" s="4" t="str">
        <f t="shared" si="25"/>
        <v/>
      </c>
      <c r="J238" s="16" t="s">
        <v>436</v>
      </c>
      <c r="K238" s="4" t="s">
        <v>7</v>
      </c>
      <c r="N238" s="16" t="s">
        <v>179</v>
      </c>
      <c r="O238" s="4" t="str">
        <f t="shared" si="21"/>
        <v>Y</v>
      </c>
      <c r="P238" s="4">
        <v>4</v>
      </c>
      <c r="Q238" s="4">
        <v>3</v>
      </c>
      <c r="R238" s="4">
        <v>0</v>
      </c>
      <c r="S238" s="4" t="s">
        <v>143</v>
      </c>
      <c r="T238" s="4" t="s">
        <v>143</v>
      </c>
      <c r="U238" s="4" t="s">
        <v>143</v>
      </c>
      <c r="W238" s="3" t="s">
        <v>164</v>
      </c>
      <c r="X238" s="3" t="s">
        <v>180</v>
      </c>
      <c r="Y238" s="4">
        <f t="shared" si="23"/>
        <v>197</v>
      </c>
    </row>
    <row r="239" spans="2:25" ht="12" customHeight="1" x14ac:dyDescent="0.15">
      <c r="B239" s="4">
        <v>197</v>
      </c>
      <c r="C239" s="14" t="str">
        <f t="shared" si="20"/>
        <v>Ferengi</v>
      </c>
      <c r="D239" s="3" t="s">
        <v>120</v>
      </c>
      <c r="E239" s="14">
        <f t="shared" si="24"/>
        <v>6</v>
      </c>
      <c r="F239" s="4">
        <v>1</v>
      </c>
      <c r="G239" s="4">
        <v>3</v>
      </c>
      <c r="H239" s="4">
        <v>8</v>
      </c>
      <c r="I239" s="4" t="str">
        <f t="shared" si="25"/>
        <v/>
      </c>
      <c r="J239" s="16" t="s">
        <v>436</v>
      </c>
      <c r="K239" s="4" t="s">
        <v>7</v>
      </c>
      <c r="L239" s="16" t="s">
        <v>553</v>
      </c>
      <c r="M239" s="16"/>
      <c r="N239" s="16" t="s">
        <v>555</v>
      </c>
      <c r="O239" s="4" t="str">
        <f t="shared" si="21"/>
        <v>Y</v>
      </c>
      <c r="P239" s="4">
        <v>7</v>
      </c>
      <c r="Q239" s="4">
        <v>5</v>
      </c>
      <c r="R239" s="4">
        <v>0</v>
      </c>
      <c r="S239" s="4" t="s">
        <v>421</v>
      </c>
      <c r="T239" s="4" t="s">
        <v>414</v>
      </c>
      <c r="U239" s="4" t="s">
        <v>411</v>
      </c>
      <c r="W239" s="3" t="s">
        <v>172</v>
      </c>
      <c r="X239" s="3" t="s">
        <v>334</v>
      </c>
      <c r="Y239" s="4">
        <f t="shared" si="23"/>
        <v>197</v>
      </c>
    </row>
    <row r="240" spans="2:25" ht="12" customHeight="1" x14ac:dyDescent="0.15">
      <c r="B240" s="4">
        <v>197</v>
      </c>
      <c r="C240" s="14" t="str">
        <f t="shared" si="20"/>
        <v>Ferengi</v>
      </c>
      <c r="D240" s="3" t="s">
        <v>121</v>
      </c>
      <c r="E240" s="14">
        <f t="shared" si="24"/>
        <v>6</v>
      </c>
      <c r="F240" s="4">
        <v>5</v>
      </c>
      <c r="H240" s="4">
        <f t="shared" si="22"/>
        <v>11</v>
      </c>
      <c r="I240" s="4" t="str">
        <f t="shared" si="25"/>
        <v/>
      </c>
      <c r="J240" s="16" t="s">
        <v>436</v>
      </c>
      <c r="K240" s="16" t="s">
        <v>176</v>
      </c>
      <c r="L240" s="16"/>
      <c r="M240" s="16"/>
      <c r="N240" s="16" t="s">
        <v>545</v>
      </c>
      <c r="O240" s="4" t="str">
        <f t="shared" si="21"/>
        <v/>
      </c>
      <c r="P240" s="4">
        <v>3</v>
      </c>
      <c r="W240" s="3" t="s">
        <v>264</v>
      </c>
      <c r="X240" s="3" t="s">
        <v>295</v>
      </c>
      <c r="Y240" s="4">
        <f t="shared" si="23"/>
        <v>197</v>
      </c>
    </row>
    <row r="241" spans="2:25" x14ac:dyDescent="0.15">
      <c r="B241" s="4">
        <v>198</v>
      </c>
      <c r="C241" s="14" t="str">
        <f t="shared" si="20"/>
        <v>Ferengi</v>
      </c>
      <c r="D241" s="18" t="s">
        <v>489</v>
      </c>
      <c r="E241" s="14">
        <f t="shared" si="24"/>
        <v>7</v>
      </c>
      <c r="F241" s="4">
        <v>1</v>
      </c>
      <c r="G241" s="4">
        <v>1</v>
      </c>
      <c r="H241" s="4">
        <f t="shared" si="22"/>
        <v>9</v>
      </c>
      <c r="I241" s="4" t="str">
        <f t="shared" si="25"/>
        <v/>
      </c>
      <c r="J241" s="16" t="s">
        <v>436</v>
      </c>
      <c r="K241" s="16" t="s">
        <v>22</v>
      </c>
      <c r="L241" s="16"/>
      <c r="M241" s="16"/>
      <c r="N241" s="16"/>
      <c r="O241" s="4" t="str">
        <f t="shared" si="21"/>
        <v/>
      </c>
      <c r="P241" s="4" t="s">
        <v>401</v>
      </c>
      <c r="W241" s="18" t="s">
        <v>401</v>
      </c>
      <c r="Y241" s="4">
        <f t="shared" si="23"/>
        <v>198</v>
      </c>
    </row>
    <row r="242" spans="2:25" ht="12" customHeight="1" x14ac:dyDescent="0.15"/>
    <row r="243" spans="2:25" ht="12" customHeight="1" x14ac:dyDescent="0.15">
      <c r="B243" s="15" t="s">
        <v>498</v>
      </c>
      <c r="E243" s="15"/>
    </row>
    <row r="244" spans="2:25" x14ac:dyDescent="0.15">
      <c r="B244" s="15" t="s">
        <v>516</v>
      </c>
      <c r="E244" s="15"/>
    </row>
    <row r="245" spans="2:25" x14ac:dyDescent="0.15">
      <c r="B245" s="15"/>
      <c r="E245" s="15"/>
    </row>
    <row r="246" spans="2:25" x14ac:dyDescent="0.15">
      <c r="B246" s="15" t="s">
        <v>668</v>
      </c>
      <c r="E246" s="15"/>
    </row>
    <row r="247" spans="2:25" x14ac:dyDescent="0.15">
      <c r="B247" s="15" t="s">
        <v>667</v>
      </c>
      <c r="E247" s="15"/>
    </row>
    <row r="248" spans="2:25" x14ac:dyDescent="0.15">
      <c r="B248" s="37"/>
    </row>
    <row r="249" spans="2:25" x14ac:dyDescent="0.15">
      <c r="B249" s="15" t="s">
        <v>665</v>
      </c>
    </row>
    <row r="250" spans="2:25" x14ac:dyDescent="0.15">
      <c r="B250" s="15" t="s">
        <v>666</v>
      </c>
    </row>
    <row r="251" spans="2:25" x14ac:dyDescent="0.15">
      <c r="B251" s="37"/>
    </row>
    <row r="252" spans="2:25" x14ac:dyDescent="0.15">
      <c r="B252" s="37"/>
    </row>
  </sheetData>
  <autoFilter ref="A1:Y241" xr:uid="{D27491A7-CEFE-CB45-88E1-8EC0997518AA}"/>
  <phoneticPr fontId="3" type="noConversion"/>
  <conditionalFormatting sqref="I2:I241">
    <cfRule type="notContainsBlanks" dxfId="1" priority="3">
      <formula>LEN(TRIM(I2))&gt;0</formula>
    </cfRule>
  </conditionalFormatting>
  <conditionalFormatting sqref="F2:F241">
    <cfRule type="cellIs" dxfId="0" priority="1" operator="greaterThan">
      <formula>5</formula>
    </cfRule>
  </conditionalFormatting>
  <pageMargins left="0.5" right="0.5" top="0.75" bottom="0.75" header="0.5" footer="0.5"/>
  <pageSetup orientation="landscape" horizontalDpi="300" verticalDpi="300"/>
  <headerFooter>
    <oddHeader>&amp;CRed Alert! Disk List</oddHeader>
    <oddFooter>&amp;L&amp;D&amp;CPage &amp;P of &amp;N&amp;R&amp;F</oddFooter>
  </headerFooter>
  <rowBreaks count="5" manualBreakCount="5">
    <brk id="26" min="5" max="260" man="1"/>
    <brk id="81" min="5" max="260" man="1"/>
    <brk id="112" min="5" max="260" man="1"/>
    <brk id="168" min="5" max="260" man="1"/>
    <brk id="212" min="5" max="26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R45"/>
  <sheetViews>
    <sheetView showRuler="0" workbookViewId="0">
      <pane ySplit="1" topLeftCell="A2" activePane="bottomLeft" state="frozen"/>
      <selection activeCell="I47" sqref="I47"/>
      <selection pane="bottomLeft" activeCell="G1" sqref="G1"/>
    </sheetView>
  </sheetViews>
  <sheetFormatPr baseColWidth="10" defaultColWidth="3.6640625" defaultRowHeight="13" x14ac:dyDescent="0.15"/>
  <cols>
    <col min="1" max="1" width="3.6640625" style="3"/>
    <col min="2" max="2" width="13.33203125" style="3" customWidth="1"/>
    <col min="3" max="3" width="6.83203125" style="4" customWidth="1"/>
    <col min="4" max="4" width="11.83203125" style="4" customWidth="1"/>
    <col min="5" max="5" width="25.83203125" style="3" customWidth="1"/>
    <col min="6" max="6" width="5.83203125" style="4" customWidth="1"/>
    <col min="7" max="8" width="8.33203125" style="4" customWidth="1"/>
    <col min="9" max="9" width="14.1640625" style="4" customWidth="1"/>
    <col min="10" max="10" width="4.83203125" style="4" bestFit="1" customWidth="1"/>
    <col min="11" max="11" width="10.33203125" style="4" customWidth="1"/>
    <col min="12" max="12" width="8.5" style="4" customWidth="1"/>
    <col min="13" max="13" width="7.6640625" style="4" customWidth="1"/>
    <col min="14" max="14" width="8.33203125" style="4" bestFit="1" customWidth="1"/>
    <col min="15" max="15" width="7.6640625" style="4" customWidth="1"/>
    <col min="16" max="16" width="6.5" style="4" customWidth="1"/>
    <col min="17" max="17" width="37.1640625" style="37" customWidth="1"/>
    <col min="18" max="18" width="77.6640625" style="37" customWidth="1"/>
    <col min="19" max="16384" width="3.6640625" style="3"/>
  </cols>
  <sheetData>
    <row r="1" spans="2:18" s="1" customFormat="1" ht="29" thickBot="1" x14ac:dyDescent="0.2">
      <c r="B1" s="34" t="s">
        <v>692</v>
      </c>
      <c r="C1" s="34" t="s">
        <v>435</v>
      </c>
      <c r="D1" s="34" t="s">
        <v>579</v>
      </c>
      <c r="E1" s="35" t="s">
        <v>448</v>
      </c>
      <c r="F1" s="34" t="s">
        <v>1</v>
      </c>
      <c r="G1" s="34" t="s">
        <v>569</v>
      </c>
      <c r="H1" s="34" t="s">
        <v>570</v>
      </c>
      <c r="I1" s="34" t="s">
        <v>447</v>
      </c>
      <c r="J1" s="34" t="s">
        <v>139</v>
      </c>
      <c r="K1" s="34" t="s">
        <v>403</v>
      </c>
      <c r="L1" s="34" t="s">
        <v>404</v>
      </c>
      <c r="M1" s="34" t="s">
        <v>405</v>
      </c>
      <c r="N1" s="34" t="s">
        <v>406</v>
      </c>
      <c r="O1" s="34" t="s">
        <v>407</v>
      </c>
      <c r="P1" s="34" t="s">
        <v>150</v>
      </c>
      <c r="Q1" s="40" t="s">
        <v>140</v>
      </c>
      <c r="R1" s="40" t="s">
        <v>203</v>
      </c>
    </row>
    <row r="2" spans="2:18" s="1" customFormat="1" ht="14" x14ac:dyDescent="0.15">
      <c r="C2" s="16" t="str">
        <f t="shared" ref="C2:C39" si="0">IF($E2="","",VLOOKUP($E2,DISCNAME,22,FALSE))</f>
        <v/>
      </c>
      <c r="D2" s="13" t="str">
        <f t="shared" ref="D2:D42" si="1">IF($C2="","",VLOOKUP($C2,FLATNUM,5,FALSE))</f>
        <v/>
      </c>
      <c r="F2" s="16" t="str">
        <f t="shared" ref="F2:F40" si="2">IF($E2="","",VLOOKUP($E2,DISCNAME,7,FALSE))</f>
        <v/>
      </c>
      <c r="G2" s="16" t="str">
        <f t="shared" ref="G2:G41" si="3">IF(E2="","",VLOOKUP(E2,DISCNAME,3,FALSE)+VLOOKUP(E2,DISCNAME,4,FALSE))</f>
        <v/>
      </c>
      <c r="H2" s="16" t="str">
        <f t="shared" ref="H2:H42" si="4">IF($E2="","",VLOOKUP($E2,DISCNAME,5,FALSE))</f>
        <v/>
      </c>
      <c r="I2" s="38" t="str">
        <f t="shared" ref="I2:I42" si="5">IF($E2="","",VLOOKUP($E2,DISCNAME,8,FALSE))</f>
        <v/>
      </c>
      <c r="J2" s="38" t="str">
        <f t="shared" ref="J2:J39" si="6">IF($E2="","",VLOOKUP($E2,DISCNAME,13,FALSE))</f>
        <v/>
      </c>
      <c r="K2" s="38" t="str">
        <f t="shared" ref="K2:K40" si="7">IF($E2="","",VLOOKUP($E2,DISCNAME,14,FALSE))</f>
        <v/>
      </c>
      <c r="L2" s="38" t="str">
        <f t="shared" ref="L2:L40" si="8">IF($E2="","",VLOOKUP($E2,DISCNAME,15,FALSE))</f>
        <v/>
      </c>
      <c r="M2" s="38" t="str">
        <f t="shared" ref="M2:M40" si="9">IF($E2="","",VLOOKUP($E2,DISCNAME,16,FALSE))</f>
        <v/>
      </c>
      <c r="N2" s="38" t="str">
        <f t="shared" ref="N2:N40" si="10">IF($E2="","",VLOOKUP($E2,DISCNAME,17,FALSE))</f>
        <v/>
      </c>
      <c r="O2" s="38" t="str">
        <f t="shared" ref="O2:O40" si="11">IF($E2="","",VLOOKUP($E2,DISCNAME,18,FALSE))</f>
        <v/>
      </c>
      <c r="P2" s="38" t="str">
        <f t="shared" ref="P2:P40" si="12">IF($E2="","",VLOOKUP($E2,DISCNAME,19,FALSE))</f>
        <v/>
      </c>
      <c r="Q2" s="39" t="str">
        <f t="shared" ref="Q2:Q40" si="13">IF($E2="","",VLOOKUP($E2,DISCNAME,20,FALSE))</f>
        <v/>
      </c>
      <c r="R2" s="39" t="str">
        <f t="shared" ref="R2:R40" si="14">IF($E2="","",VLOOKUP($E2,DISCNAME,21,FALSE))</f>
        <v/>
      </c>
    </row>
    <row r="3" spans="2:18" ht="14" x14ac:dyDescent="0.15">
      <c r="B3" s="329">
        <v>5000</v>
      </c>
      <c r="C3" s="136">
        <f t="shared" si="0"/>
        <v>161</v>
      </c>
      <c r="D3" s="137" t="str">
        <f t="shared" si="1"/>
        <v>Federation</v>
      </c>
      <c r="E3" s="138" t="s">
        <v>185</v>
      </c>
      <c r="F3" s="139" t="str">
        <f t="shared" si="2"/>
        <v>E</v>
      </c>
      <c r="G3" s="139">
        <f t="shared" si="3"/>
        <v>3</v>
      </c>
      <c r="H3" s="139">
        <f t="shared" si="4"/>
        <v>7</v>
      </c>
      <c r="I3" s="140" t="str">
        <f t="shared" si="5"/>
        <v>Ship-Standard</v>
      </c>
      <c r="J3" s="140">
        <f t="shared" si="6"/>
        <v>16</v>
      </c>
      <c r="K3" s="140">
        <f t="shared" si="7"/>
        <v>4</v>
      </c>
      <c r="L3" s="140">
        <f t="shared" si="8"/>
        <v>5</v>
      </c>
      <c r="M3" s="140">
        <f t="shared" si="9"/>
        <v>4</v>
      </c>
      <c r="N3" s="140">
        <f t="shared" si="10"/>
        <v>4</v>
      </c>
      <c r="O3" s="140">
        <f t="shared" si="11"/>
        <v>6</v>
      </c>
      <c r="P3" s="140">
        <f t="shared" si="12"/>
        <v>5</v>
      </c>
      <c r="Q3" s="141" t="str">
        <f t="shared" si="13"/>
        <v>Steamrunner-Class Frigate, Unique</v>
      </c>
      <c r="R3" s="142" t="str">
        <f t="shared" si="14"/>
        <v>Start: +3 cap if Appalachia has no Upgrade Tech</v>
      </c>
    </row>
    <row r="4" spans="2:18" ht="14" x14ac:dyDescent="0.15">
      <c r="B4" s="329">
        <v>5000</v>
      </c>
      <c r="C4" s="143">
        <f t="shared" si="0"/>
        <v>166</v>
      </c>
      <c r="D4" s="144" t="str">
        <f t="shared" si="1"/>
        <v>Federation</v>
      </c>
      <c r="E4" s="145" t="s">
        <v>189</v>
      </c>
      <c r="F4" s="146" t="str">
        <f t="shared" si="2"/>
        <v>E</v>
      </c>
      <c r="G4" s="146">
        <f t="shared" si="3"/>
        <v>2</v>
      </c>
      <c r="H4" s="146">
        <f t="shared" si="4"/>
        <v>5</v>
      </c>
      <c r="I4" s="147" t="str">
        <f t="shared" si="5"/>
        <v>Ship-Standard</v>
      </c>
      <c r="J4" s="147">
        <f t="shared" si="6"/>
        <v>20</v>
      </c>
      <c r="K4" s="147">
        <f t="shared" si="7"/>
        <v>6</v>
      </c>
      <c r="L4" s="147">
        <f t="shared" si="8"/>
        <v>6</v>
      </c>
      <c r="M4" s="147">
        <f t="shared" si="9"/>
        <v>5</v>
      </c>
      <c r="N4" s="147">
        <f t="shared" si="10"/>
        <v>5</v>
      </c>
      <c r="O4" s="147">
        <f t="shared" si="11"/>
        <v>8</v>
      </c>
      <c r="P4" s="147">
        <f t="shared" si="12"/>
        <v>5</v>
      </c>
      <c r="Q4" s="148" t="str">
        <f t="shared" si="13"/>
        <v>Galaxy-Class Explorer, Unique</v>
      </c>
      <c r="R4" s="149" t="str">
        <f t="shared" si="14"/>
        <v>Start: -1 to cost of Torpedo Upgrade Tech</v>
      </c>
    </row>
    <row r="5" spans="2:18" ht="14" x14ac:dyDescent="0.15">
      <c r="B5" s="329">
        <v>5000</v>
      </c>
      <c r="C5" s="143">
        <f t="shared" si="0"/>
        <v>171</v>
      </c>
      <c r="D5" s="144" t="str">
        <f t="shared" si="1"/>
        <v>Romulan</v>
      </c>
      <c r="E5" s="145" t="s">
        <v>199</v>
      </c>
      <c r="F5" s="146" t="str">
        <f t="shared" si="2"/>
        <v>E</v>
      </c>
      <c r="G5" s="146">
        <f t="shared" si="3"/>
        <v>2</v>
      </c>
      <c r="H5" s="146">
        <f t="shared" si="4"/>
        <v>6</v>
      </c>
      <c r="I5" s="147" t="str">
        <f t="shared" si="5"/>
        <v>Ship-Standard</v>
      </c>
      <c r="J5" s="147">
        <f t="shared" si="6"/>
        <v>21</v>
      </c>
      <c r="K5" s="147">
        <f t="shared" si="7"/>
        <v>6</v>
      </c>
      <c r="L5" s="147">
        <f t="shared" si="8"/>
        <v>5</v>
      </c>
      <c r="M5" s="147">
        <f t="shared" si="9"/>
        <v>4</v>
      </c>
      <c r="N5" s="147">
        <f t="shared" si="10"/>
        <v>5</v>
      </c>
      <c r="O5" s="147">
        <f t="shared" si="11"/>
        <v>6</v>
      </c>
      <c r="P5" s="147">
        <f t="shared" si="12"/>
        <v>5</v>
      </c>
      <c r="Q5" s="148" t="str">
        <f t="shared" si="13"/>
        <v>T'Rasus-Class Cruiser, Unique</v>
      </c>
      <c r="R5" s="149" t="str">
        <f t="shared" si="14"/>
        <v>Start: -1 to cost of all other T'Rasus-Class ships in Fleet</v>
      </c>
    </row>
    <row r="6" spans="2:18" ht="14" x14ac:dyDescent="0.15">
      <c r="B6" s="329">
        <v>5000</v>
      </c>
      <c r="C6" s="143">
        <f t="shared" si="0"/>
        <v>176</v>
      </c>
      <c r="D6" s="144" t="str">
        <f t="shared" si="1"/>
        <v>Romulan</v>
      </c>
      <c r="E6" s="145" t="s">
        <v>194</v>
      </c>
      <c r="F6" s="146" t="str">
        <f t="shared" si="2"/>
        <v>E</v>
      </c>
      <c r="G6" s="146">
        <f t="shared" si="3"/>
        <v>2</v>
      </c>
      <c r="H6" s="146">
        <f t="shared" si="4"/>
        <v>8</v>
      </c>
      <c r="I6" s="147" t="str">
        <f t="shared" si="5"/>
        <v>Ship-Standard</v>
      </c>
      <c r="J6" s="147">
        <f t="shared" si="6"/>
        <v>23</v>
      </c>
      <c r="K6" s="147">
        <f t="shared" si="7"/>
        <v>6</v>
      </c>
      <c r="L6" s="147">
        <f t="shared" si="8"/>
        <v>6</v>
      </c>
      <c r="M6" s="147">
        <f t="shared" si="9"/>
        <v>5</v>
      </c>
      <c r="N6" s="147">
        <f t="shared" si="10"/>
        <v>5</v>
      </c>
      <c r="O6" s="147">
        <f t="shared" si="11"/>
        <v>8</v>
      </c>
      <c r="P6" s="147">
        <f t="shared" si="12"/>
        <v>5</v>
      </c>
      <c r="Q6" s="148" t="str">
        <f t="shared" si="13"/>
        <v>Meret-Class Cruiser, Unique</v>
      </c>
      <c r="R6" s="149" t="str">
        <f t="shared" si="14"/>
        <v>Start: -1 to cost of Beam Weapon Upgrade Tech</v>
      </c>
    </row>
    <row r="7" spans="2:18" ht="14" x14ac:dyDescent="0.15">
      <c r="B7" s="329">
        <v>5000</v>
      </c>
      <c r="C7" s="143">
        <f t="shared" si="0"/>
        <v>181</v>
      </c>
      <c r="D7" s="144" t="str">
        <f t="shared" si="1"/>
        <v>Klingon</v>
      </c>
      <c r="E7" s="145" t="s">
        <v>72</v>
      </c>
      <c r="F7" s="146" t="str">
        <f t="shared" si="2"/>
        <v>E</v>
      </c>
      <c r="G7" s="146">
        <f t="shared" si="3"/>
        <v>1</v>
      </c>
      <c r="H7" s="146">
        <f t="shared" si="4"/>
        <v>9</v>
      </c>
      <c r="I7" s="147" t="str">
        <f t="shared" si="5"/>
        <v>Ship-Standard</v>
      </c>
      <c r="J7" s="147">
        <f t="shared" si="6"/>
        <v>19</v>
      </c>
      <c r="K7" s="147">
        <f t="shared" si="7"/>
        <v>6</v>
      </c>
      <c r="L7" s="147">
        <f t="shared" si="8"/>
        <v>6</v>
      </c>
      <c r="M7" s="147">
        <f t="shared" si="9"/>
        <v>5</v>
      </c>
      <c r="N7" s="147">
        <f t="shared" si="10"/>
        <v>5</v>
      </c>
      <c r="O7" s="147">
        <f t="shared" si="11"/>
        <v>7</v>
      </c>
      <c r="P7" s="147">
        <f t="shared" si="12"/>
        <v>5</v>
      </c>
      <c r="Q7" s="148" t="str">
        <f t="shared" si="13"/>
        <v>Vor'Cha-Class Cruiser, Unique</v>
      </c>
      <c r="R7" s="149" t="str">
        <f t="shared" si="14"/>
        <v>Engineering Crits do not affect Beam Weapon Upgrade Tech</v>
      </c>
    </row>
    <row r="8" spans="2:18" ht="14" x14ac:dyDescent="0.15">
      <c r="B8" s="329">
        <v>5000</v>
      </c>
      <c r="C8" s="143">
        <f t="shared" si="0"/>
        <v>186</v>
      </c>
      <c r="D8" s="144" t="str">
        <f t="shared" si="1"/>
        <v>Klingon</v>
      </c>
      <c r="E8" s="145" t="s">
        <v>132</v>
      </c>
      <c r="F8" s="146" t="str">
        <f t="shared" si="2"/>
        <v>E</v>
      </c>
      <c r="G8" s="146">
        <f t="shared" si="3"/>
        <v>1</v>
      </c>
      <c r="H8" s="146">
        <f t="shared" si="4"/>
        <v>7</v>
      </c>
      <c r="I8" s="147" t="str">
        <f t="shared" si="5"/>
        <v>Ship-Standard</v>
      </c>
      <c r="J8" s="147">
        <f t="shared" si="6"/>
        <v>17</v>
      </c>
      <c r="K8" s="147">
        <f t="shared" si="7"/>
        <v>5</v>
      </c>
      <c r="L8" s="147">
        <f t="shared" si="8"/>
        <v>5</v>
      </c>
      <c r="M8" s="147">
        <f t="shared" si="9"/>
        <v>5</v>
      </c>
      <c r="N8" s="147">
        <f t="shared" si="10"/>
        <v>4</v>
      </c>
      <c r="O8" s="147">
        <f t="shared" si="11"/>
        <v>5</v>
      </c>
      <c r="P8" s="147">
        <f t="shared" si="12"/>
        <v>5</v>
      </c>
      <c r="Q8" s="148" t="str">
        <f t="shared" si="13"/>
        <v>Pa'Chag-Class Cruiser, Unique</v>
      </c>
      <c r="R8" s="149" t="str">
        <f t="shared" si="14"/>
        <v>Start: -1 to cost of transporter Upgrade Tech</v>
      </c>
    </row>
    <row r="9" spans="2:18" ht="14" x14ac:dyDescent="0.15">
      <c r="B9" s="329">
        <v>5000</v>
      </c>
      <c r="C9" s="143">
        <f t="shared" si="0"/>
        <v>191</v>
      </c>
      <c r="D9" s="144" t="str">
        <f t="shared" si="1"/>
        <v>Cardassian</v>
      </c>
      <c r="E9" s="145" t="s">
        <v>9</v>
      </c>
      <c r="F9" s="146" t="str">
        <f t="shared" si="2"/>
        <v>E</v>
      </c>
      <c r="G9" s="146">
        <f t="shared" si="3"/>
        <v>1</v>
      </c>
      <c r="H9" s="146">
        <f t="shared" si="4"/>
        <v>5</v>
      </c>
      <c r="I9" s="147" t="str">
        <f t="shared" si="5"/>
        <v>Ship-Standard</v>
      </c>
      <c r="J9" s="147">
        <f t="shared" si="6"/>
        <v>19</v>
      </c>
      <c r="K9" s="147">
        <f t="shared" si="7"/>
        <v>6</v>
      </c>
      <c r="L9" s="147">
        <f t="shared" si="8"/>
        <v>6</v>
      </c>
      <c r="M9" s="147">
        <f t="shared" si="9"/>
        <v>5</v>
      </c>
      <c r="N9" s="147">
        <f t="shared" si="10"/>
        <v>5</v>
      </c>
      <c r="O9" s="147">
        <f t="shared" si="11"/>
        <v>7</v>
      </c>
      <c r="P9" s="147">
        <f t="shared" si="12"/>
        <v>5</v>
      </c>
      <c r="Q9" s="148" t="str">
        <f t="shared" si="13"/>
        <v>Keldon-Class Warship, Unique</v>
      </c>
      <c r="R9" s="149" t="str">
        <f t="shared" si="14"/>
        <v>Start: -1 to cost of Torpedo Upgrade Tech</v>
      </c>
    </row>
    <row r="10" spans="2:18" ht="14" x14ac:dyDescent="0.15">
      <c r="B10" s="329">
        <v>5000</v>
      </c>
      <c r="C10" s="150">
        <f t="shared" si="0"/>
        <v>196</v>
      </c>
      <c r="D10" s="151" t="str">
        <f t="shared" si="1"/>
        <v>Ferengi</v>
      </c>
      <c r="E10" s="152" t="s">
        <v>117</v>
      </c>
      <c r="F10" s="153" t="str">
        <f t="shared" si="2"/>
        <v>E</v>
      </c>
      <c r="G10" s="153">
        <f t="shared" si="3"/>
        <v>3</v>
      </c>
      <c r="H10" s="153">
        <f t="shared" si="4"/>
        <v>7</v>
      </c>
      <c r="I10" s="154" t="str">
        <f t="shared" si="5"/>
        <v>Ship-Standard</v>
      </c>
      <c r="J10" s="154">
        <f t="shared" si="6"/>
        <v>16</v>
      </c>
      <c r="K10" s="154">
        <f t="shared" si="7"/>
        <v>5</v>
      </c>
      <c r="L10" s="154">
        <f t="shared" si="8"/>
        <v>5</v>
      </c>
      <c r="M10" s="154">
        <f t="shared" si="9"/>
        <v>3</v>
      </c>
      <c r="N10" s="154">
        <f t="shared" si="10"/>
        <v>4</v>
      </c>
      <c r="O10" s="154">
        <f t="shared" si="11"/>
        <v>7</v>
      </c>
      <c r="P10" s="154">
        <f t="shared" si="12"/>
        <v>5</v>
      </c>
      <c r="Q10" s="155" t="str">
        <f t="shared" si="13"/>
        <v>D'Kora-Class Cruiser, Unique</v>
      </c>
      <c r="R10" s="156" t="str">
        <f t="shared" si="14"/>
        <v>Engineering Crits do not affect structural Upgrade Tech</v>
      </c>
    </row>
    <row r="11" spans="2:18" ht="14" x14ac:dyDescent="0.15">
      <c r="B11" s="329"/>
      <c r="C11" s="16" t="str">
        <f t="shared" si="0"/>
        <v/>
      </c>
      <c r="D11" s="13" t="str">
        <f t="shared" si="1"/>
        <v/>
      </c>
      <c r="E11"/>
      <c r="F11" s="16" t="str">
        <f t="shared" si="2"/>
        <v/>
      </c>
      <c r="G11" s="16" t="str">
        <f t="shared" si="3"/>
        <v/>
      </c>
      <c r="H11" s="16" t="str">
        <f t="shared" si="4"/>
        <v/>
      </c>
      <c r="I11" s="38" t="str">
        <f t="shared" si="5"/>
        <v/>
      </c>
      <c r="J11" s="38" t="str">
        <f t="shared" si="6"/>
        <v/>
      </c>
      <c r="K11" s="38" t="str">
        <f t="shared" si="7"/>
        <v/>
      </c>
      <c r="L11" s="38" t="str">
        <f t="shared" si="8"/>
        <v/>
      </c>
      <c r="M11" s="38" t="str">
        <f t="shared" si="9"/>
        <v/>
      </c>
      <c r="N11" s="38" t="str">
        <f t="shared" si="10"/>
        <v/>
      </c>
      <c r="O11" s="38" t="str">
        <f t="shared" si="11"/>
        <v/>
      </c>
      <c r="P11" s="38" t="str">
        <f t="shared" si="12"/>
        <v/>
      </c>
      <c r="Q11" s="39" t="str">
        <f t="shared" si="13"/>
        <v/>
      </c>
      <c r="R11" s="39" t="str">
        <f t="shared" si="14"/>
        <v/>
      </c>
    </row>
    <row r="12" spans="2:18" ht="14" x14ac:dyDescent="0.15">
      <c r="B12" s="330">
        <v>10000</v>
      </c>
      <c r="C12" s="75">
        <f t="shared" si="0"/>
        <v>101</v>
      </c>
      <c r="D12" s="76" t="str">
        <f t="shared" si="1"/>
        <v>Federation</v>
      </c>
      <c r="E12" s="77" t="s">
        <v>186</v>
      </c>
      <c r="F12" s="78" t="str">
        <f t="shared" si="2"/>
        <v>C</v>
      </c>
      <c r="G12" s="78">
        <f t="shared" si="3"/>
        <v>11</v>
      </c>
      <c r="H12" s="78">
        <f t="shared" si="4"/>
        <v>35</v>
      </c>
      <c r="I12" s="79" t="str">
        <f t="shared" si="5"/>
        <v>Ship-Standard</v>
      </c>
      <c r="J12" s="79">
        <f t="shared" si="6"/>
        <v>18</v>
      </c>
      <c r="K12" s="79">
        <f t="shared" si="7"/>
        <v>5</v>
      </c>
      <c r="L12" s="79">
        <f t="shared" si="8"/>
        <v>6</v>
      </c>
      <c r="M12" s="79">
        <f t="shared" si="9"/>
        <v>4</v>
      </c>
      <c r="N12" s="79">
        <f t="shared" si="10"/>
        <v>5</v>
      </c>
      <c r="O12" s="79">
        <f t="shared" si="11"/>
        <v>6</v>
      </c>
      <c r="P12" s="79">
        <f t="shared" si="12"/>
        <v>5</v>
      </c>
      <c r="Q12" s="80" t="str">
        <f t="shared" si="13"/>
        <v>Nebula-Class Cruiser, Unique</v>
      </c>
      <c r="R12" s="81" t="str">
        <f t="shared" si="14"/>
        <v>Start: -1 to cost of sensor Upgrade Tech</v>
      </c>
    </row>
    <row r="13" spans="2:18" ht="14" x14ac:dyDescent="0.15">
      <c r="B13" s="330">
        <v>10000</v>
      </c>
      <c r="C13" s="82">
        <f t="shared" si="0"/>
        <v>102</v>
      </c>
      <c r="D13" s="83" t="str">
        <f t="shared" si="1"/>
        <v>Romulan</v>
      </c>
      <c r="E13" s="84" t="s">
        <v>195</v>
      </c>
      <c r="F13" s="85" t="str">
        <f t="shared" si="2"/>
        <v>C</v>
      </c>
      <c r="G13" s="85">
        <f t="shared" si="3"/>
        <v>5</v>
      </c>
      <c r="H13" s="85">
        <f t="shared" si="4"/>
        <v>21</v>
      </c>
      <c r="I13" s="86" t="str">
        <f t="shared" si="5"/>
        <v>Ship-Standard</v>
      </c>
      <c r="J13" s="86">
        <f t="shared" si="6"/>
        <v>21</v>
      </c>
      <c r="K13" s="86">
        <f t="shared" si="7"/>
        <v>6</v>
      </c>
      <c r="L13" s="86">
        <f t="shared" si="8"/>
        <v>5</v>
      </c>
      <c r="M13" s="86">
        <f t="shared" si="9"/>
        <v>4</v>
      </c>
      <c r="N13" s="86">
        <f t="shared" si="10"/>
        <v>5</v>
      </c>
      <c r="O13" s="86">
        <f t="shared" si="11"/>
        <v>6</v>
      </c>
      <c r="P13" s="86">
        <f t="shared" si="12"/>
        <v>5</v>
      </c>
      <c r="Q13" s="87" t="str">
        <f t="shared" si="13"/>
        <v>T'Rasus-Class Cruiser, Unique</v>
      </c>
      <c r="R13" s="88" t="str">
        <f t="shared" si="14"/>
        <v>Start: -1 to cost of all other T'Rasus-Class ships in Fleet</v>
      </c>
    </row>
    <row r="14" spans="2:18" ht="14" x14ac:dyDescent="0.15">
      <c r="B14" s="330">
        <v>10000</v>
      </c>
      <c r="C14" s="82">
        <f t="shared" si="0"/>
        <v>103</v>
      </c>
      <c r="D14" s="83" t="str">
        <f t="shared" si="1"/>
        <v>Klingon</v>
      </c>
      <c r="E14" s="84" t="s">
        <v>100</v>
      </c>
      <c r="F14" s="85" t="str">
        <f t="shared" si="2"/>
        <v>C</v>
      </c>
      <c r="G14" s="85">
        <f t="shared" si="3"/>
        <v>3</v>
      </c>
      <c r="H14" s="85">
        <f t="shared" si="4"/>
        <v>16</v>
      </c>
      <c r="I14" s="86" t="str">
        <f t="shared" si="5"/>
        <v>Ship-Standard</v>
      </c>
      <c r="J14" s="86">
        <f t="shared" si="6"/>
        <v>19</v>
      </c>
      <c r="K14" s="86">
        <f t="shared" si="7"/>
        <v>6</v>
      </c>
      <c r="L14" s="86">
        <f t="shared" si="8"/>
        <v>6</v>
      </c>
      <c r="M14" s="86">
        <f t="shared" si="9"/>
        <v>5</v>
      </c>
      <c r="N14" s="86">
        <f t="shared" si="10"/>
        <v>5</v>
      </c>
      <c r="O14" s="86">
        <f t="shared" si="11"/>
        <v>7</v>
      </c>
      <c r="P14" s="86">
        <f t="shared" si="12"/>
        <v>5</v>
      </c>
      <c r="Q14" s="87" t="str">
        <f t="shared" si="13"/>
        <v>Vor'Cha-Class Cruiser, Unique</v>
      </c>
      <c r="R14" s="88" t="str">
        <f t="shared" si="14"/>
        <v>Disable torpedoes instead of Beam Weapons when suffering a Weapons Crit</v>
      </c>
    </row>
    <row r="15" spans="2:18" ht="14" x14ac:dyDescent="0.15">
      <c r="B15" s="330">
        <v>10000</v>
      </c>
      <c r="C15" s="82">
        <f t="shared" si="0"/>
        <v>104</v>
      </c>
      <c r="D15" s="83" t="str">
        <f t="shared" si="1"/>
        <v>Cardassian</v>
      </c>
      <c r="E15" s="84" t="s">
        <v>145</v>
      </c>
      <c r="F15" s="85" t="str">
        <f t="shared" si="2"/>
        <v>C</v>
      </c>
      <c r="G15" s="85">
        <f t="shared" si="3"/>
        <v>2</v>
      </c>
      <c r="H15" s="85">
        <f t="shared" si="4"/>
        <v>9</v>
      </c>
      <c r="I15" s="86" t="str">
        <f t="shared" si="5"/>
        <v>Ship-Standard</v>
      </c>
      <c r="J15" s="86">
        <f t="shared" si="6"/>
        <v>14</v>
      </c>
      <c r="K15" s="86">
        <f t="shared" si="7"/>
        <v>5</v>
      </c>
      <c r="L15" s="86">
        <f t="shared" si="8"/>
        <v>4</v>
      </c>
      <c r="M15" s="86">
        <f t="shared" si="9"/>
        <v>4</v>
      </c>
      <c r="N15" s="86">
        <f t="shared" si="10"/>
        <v>4</v>
      </c>
      <c r="O15" s="86">
        <f t="shared" si="11"/>
        <v>4</v>
      </c>
      <c r="P15" s="86">
        <f t="shared" si="12"/>
        <v>5</v>
      </c>
      <c r="Q15" s="87" t="str">
        <f t="shared" si="13"/>
        <v>Guran-Class Attack Ship, Unique</v>
      </c>
      <c r="R15" s="88" t="str">
        <f t="shared" si="14"/>
        <v>Weapons Crits only cause -2 Beam Weapon</v>
      </c>
    </row>
    <row r="16" spans="2:18" ht="14" x14ac:dyDescent="0.15">
      <c r="B16" s="330">
        <v>10000</v>
      </c>
      <c r="C16" s="82">
        <f t="shared" si="0"/>
        <v>105</v>
      </c>
      <c r="D16" s="83" t="str">
        <f t="shared" si="1"/>
        <v>Klingon</v>
      </c>
      <c r="E16" s="84" t="s">
        <v>66</v>
      </c>
      <c r="F16" s="85" t="str">
        <f t="shared" si="2"/>
        <v>C</v>
      </c>
      <c r="G16" s="85">
        <f t="shared" si="3"/>
        <v>3</v>
      </c>
      <c r="H16" s="85">
        <f t="shared" si="4"/>
        <v>16</v>
      </c>
      <c r="I16" s="86" t="str">
        <f t="shared" si="5"/>
        <v>Ship-Standard</v>
      </c>
      <c r="J16" s="86">
        <f t="shared" si="6"/>
        <v>17</v>
      </c>
      <c r="K16" s="86">
        <f t="shared" si="7"/>
        <v>4</v>
      </c>
      <c r="L16" s="86">
        <f t="shared" si="8"/>
        <v>4</v>
      </c>
      <c r="M16" s="86">
        <f t="shared" si="9"/>
        <v>6</v>
      </c>
      <c r="N16" s="86">
        <f t="shared" si="10"/>
        <v>4</v>
      </c>
      <c r="O16" s="86">
        <f t="shared" si="11"/>
        <v>4</v>
      </c>
      <c r="P16" s="86">
        <f t="shared" si="12"/>
        <v>5</v>
      </c>
      <c r="Q16" s="87" t="str">
        <f t="shared" si="13"/>
        <v>Tro'Qa-Class Destroyer, Unique</v>
      </c>
      <c r="R16" s="88" t="str">
        <f t="shared" si="14"/>
        <v>Start: -1 to cost of Weapon Upgrade Tech</v>
      </c>
    </row>
    <row r="17" spans="2:18" ht="14" x14ac:dyDescent="0.15">
      <c r="B17" s="330">
        <v>10000</v>
      </c>
      <c r="C17" s="82">
        <f t="shared" si="0"/>
        <v>106</v>
      </c>
      <c r="D17" s="83" t="str">
        <f t="shared" si="1"/>
        <v>Federation</v>
      </c>
      <c r="E17" s="84" t="s">
        <v>190</v>
      </c>
      <c r="F17" s="85" t="str">
        <f t="shared" si="2"/>
        <v>C</v>
      </c>
      <c r="G17" s="85">
        <f t="shared" si="3"/>
        <v>9</v>
      </c>
      <c r="H17" s="85">
        <f t="shared" si="4"/>
        <v>33</v>
      </c>
      <c r="I17" s="86" t="str">
        <f t="shared" si="5"/>
        <v>Ship-Standard</v>
      </c>
      <c r="J17" s="86">
        <f t="shared" si="6"/>
        <v>15</v>
      </c>
      <c r="K17" s="86">
        <f t="shared" si="7"/>
        <v>4</v>
      </c>
      <c r="L17" s="86">
        <f t="shared" si="8"/>
        <v>5</v>
      </c>
      <c r="M17" s="86">
        <f t="shared" si="9"/>
        <v>4</v>
      </c>
      <c r="N17" s="86">
        <f t="shared" si="10"/>
        <v>4</v>
      </c>
      <c r="O17" s="86">
        <f t="shared" si="11"/>
        <v>6</v>
      </c>
      <c r="P17" s="86">
        <f t="shared" si="12"/>
        <v>5</v>
      </c>
      <c r="Q17" s="87" t="str">
        <f t="shared" si="13"/>
        <v>Saber-Class Light Cruiser, Unique</v>
      </c>
      <c r="R17" s="88" t="str">
        <f t="shared" si="14"/>
        <v>Start: +1 Torp for every point of unused cap</v>
      </c>
    </row>
    <row r="18" spans="2:18" ht="14" x14ac:dyDescent="0.15">
      <c r="B18" s="330">
        <v>10000</v>
      </c>
      <c r="C18" s="82">
        <f t="shared" si="0"/>
        <v>107</v>
      </c>
      <c r="D18" s="83" t="str">
        <f t="shared" si="1"/>
        <v>Klingon</v>
      </c>
      <c r="E18" s="84" t="s">
        <v>69</v>
      </c>
      <c r="F18" s="85" t="str">
        <f t="shared" si="2"/>
        <v>C</v>
      </c>
      <c r="G18" s="85">
        <f t="shared" si="3"/>
        <v>1</v>
      </c>
      <c r="H18" s="85">
        <f t="shared" si="4"/>
        <v>16</v>
      </c>
      <c r="I18" s="86" t="str">
        <f t="shared" si="5"/>
        <v>Ship-Standard</v>
      </c>
      <c r="J18" s="86">
        <f t="shared" si="6"/>
        <v>14</v>
      </c>
      <c r="K18" s="86">
        <f t="shared" si="7"/>
        <v>5</v>
      </c>
      <c r="L18" s="86">
        <f t="shared" si="8"/>
        <v>5</v>
      </c>
      <c r="M18" s="86">
        <f t="shared" si="9"/>
        <v>3</v>
      </c>
      <c r="N18" s="86">
        <f t="shared" si="10"/>
        <v>4</v>
      </c>
      <c r="O18" s="86">
        <f t="shared" si="11"/>
        <v>4</v>
      </c>
      <c r="P18" s="86">
        <f t="shared" si="12"/>
        <v>5</v>
      </c>
      <c r="Q18" s="87" t="str">
        <f t="shared" si="13"/>
        <v>Kel'Var-Class Frigate, Unique</v>
      </c>
      <c r="R18" s="88" t="str">
        <f t="shared" si="14"/>
        <v>Start: -1 to cost of Away Team and Security Crew</v>
      </c>
    </row>
    <row r="19" spans="2:18" ht="14" x14ac:dyDescent="0.15">
      <c r="B19" s="330">
        <v>10000</v>
      </c>
      <c r="C19" s="89">
        <f t="shared" si="0"/>
        <v>108</v>
      </c>
      <c r="D19" s="90" t="str">
        <f t="shared" si="1"/>
        <v>Ferengi</v>
      </c>
      <c r="E19" s="91" t="s">
        <v>32</v>
      </c>
      <c r="F19" s="92" t="str">
        <f t="shared" si="2"/>
        <v>C</v>
      </c>
      <c r="G19" s="92">
        <f t="shared" si="3"/>
        <v>9</v>
      </c>
      <c r="H19" s="92">
        <f t="shared" si="4"/>
        <v>32</v>
      </c>
      <c r="I19" s="93" t="str">
        <f t="shared" si="5"/>
        <v>Ship-Standard</v>
      </c>
      <c r="J19" s="93">
        <f t="shared" si="6"/>
        <v>16</v>
      </c>
      <c r="K19" s="93">
        <f t="shared" si="7"/>
        <v>5</v>
      </c>
      <c r="L19" s="93">
        <f t="shared" si="8"/>
        <v>5</v>
      </c>
      <c r="M19" s="93">
        <f t="shared" si="9"/>
        <v>4</v>
      </c>
      <c r="N19" s="93">
        <f t="shared" si="10"/>
        <v>4</v>
      </c>
      <c r="O19" s="93">
        <f t="shared" si="11"/>
        <v>5</v>
      </c>
      <c r="P19" s="93">
        <f t="shared" si="12"/>
        <v>5</v>
      </c>
      <c r="Q19" s="94" t="str">
        <f t="shared" si="13"/>
        <v>Kingal-Class Cruiser, Unique</v>
      </c>
      <c r="R19" s="95" t="str">
        <f t="shared" si="14"/>
        <v>Set shields to 2 immediately after suffering a shields Crit</v>
      </c>
    </row>
    <row r="20" spans="2:18" ht="14" x14ac:dyDescent="0.15">
      <c r="B20" s="329"/>
      <c r="C20" s="16" t="str">
        <f t="shared" si="0"/>
        <v/>
      </c>
      <c r="D20" s="13" t="str">
        <f t="shared" si="1"/>
        <v/>
      </c>
      <c r="E20"/>
      <c r="F20" s="16" t="str">
        <f t="shared" si="2"/>
        <v/>
      </c>
      <c r="G20" s="16" t="str">
        <f t="shared" si="3"/>
        <v/>
      </c>
      <c r="H20" s="16" t="str">
        <f t="shared" si="4"/>
        <v/>
      </c>
      <c r="I20" s="38" t="str">
        <f t="shared" si="5"/>
        <v/>
      </c>
      <c r="J20" s="38" t="str">
        <f t="shared" si="6"/>
        <v/>
      </c>
      <c r="K20" s="38" t="str">
        <f t="shared" si="7"/>
        <v/>
      </c>
      <c r="L20" s="38" t="str">
        <f t="shared" si="8"/>
        <v/>
      </c>
      <c r="M20" s="38" t="str">
        <f t="shared" si="9"/>
        <v/>
      </c>
      <c r="N20" s="38" t="str">
        <f t="shared" si="10"/>
        <v/>
      </c>
      <c r="O20" s="38" t="str">
        <f t="shared" si="11"/>
        <v/>
      </c>
      <c r="P20" s="38" t="str">
        <f t="shared" si="12"/>
        <v/>
      </c>
      <c r="Q20" s="39" t="str">
        <f t="shared" si="13"/>
        <v/>
      </c>
      <c r="R20" s="39" t="str">
        <f t="shared" si="14"/>
        <v/>
      </c>
    </row>
    <row r="21" spans="2:18" ht="14" x14ac:dyDescent="0.15">
      <c r="B21" s="329">
        <v>5000</v>
      </c>
      <c r="C21" s="96">
        <f t="shared" si="0"/>
        <v>121</v>
      </c>
      <c r="D21" s="97" t="str">
        <f t="shared" si="1"/>
        <v>Federation</v>
      </c>
      <c r="E21" s="98" t="s">
        <v>188</v>
      </c>
      <c r="F21" s="99" t="str">
        <f t="shared" si="2"/>
        <v>U</v>
      </c>
      <c r="G21" s="99">
        <f t="shared" si="3"/>
        <v>2</v>
      </c>
      <c r="H21" s="99">
        <f t="shared" si="4"/>
        <v>7</v>
      </c>
      <c r="I21" s="100" t="str">
        <f t="shared" si="5"/>
        <v>Ship-Standard</v>
      </c>
      <c r="J21" s="100">
        <f t="shared" si="6"/>
        <v>15</v>
      </c>
      <c r="K21" s="100">
        <f t="shared" si="7"/>
        <v>4</v>
      </c>
      <c r="L21" s="100">
        <f t="shared" si="8"/>
        <v>5</v>
      </c>
      <c r="M21" s="100">
        <f t="shared" si="9"/>
        <v>3</v>
      </c>
      <c r="N21" s="100">
        <f t="shared" si="10"/>
        <v>4</v>
      </c>
      <c r="O21" s="100">
        <f t="shared" si="11"/>
        <v>7</v>
      </c>
      <c r="P21" s="100">
        <f t="shared" si="12"/>
        <v>5</v>
      </c>
      <c r="Q21" s="101" t="str">
        <f t="shared" si="13"/>
        <v>Ambassador-Class Explorer, Unique</v>
      </c>
      <c r="R21" s="102" t="str">
        <f t="shared" si="14"/>
        <v>Engineering Crits do not affect sensor Upgrade Tech</v>
      </c>
    </row>
    <row r="22" spans="2:18" ht="14" x14ac:dyDescent="0.15">
      <c r="B22" s="329">
        <v>5000</v>
      </c>
      <c r="C22" s="103">
        <f t="shared" si="0"/>
        <v>122</v>
      </c>
      <c r="D22" s="104" t="str">
        <f t="shared" si="1"/>
        <v>Romulan</v>
      </c>
      <c r="E22" s="105" t="s">
        <v>200</v>
      </c>
      <c r="F22" s="36" t="str">
        <f t="shared" si="2"/>
        <v>U</v>
      </c>
      <c r="G22" s="36">
        <f t="shared" si="3"/>
        <v>4</v>
      </c>
      <c r="H22" s="36">
        <f t="shared" si="4"/>
        <v>13</v>
      </c>
      <c r="I22" s="106" t="str">
        <f t="shared" si="5"/>
        <v>Ship-Standard</v>
      </c>
      <c r="J22" s="106">
        <f t="shared" si="6"/>
        <v>20</v>
      </c>
      <c r="K22" s="106">
        <f t="shared" si="7"/>
        <v>5</v>
      </c>
      <c r="L22" s="106">
        <f t="shared" si="8"/>
        <v>5</v>
      </c>
      <c r="M22" s="106">
        <f t="shared" si="9"/>
        <v>5</v>
      </c>
      <c r="N22" s="106">
        <f t="shared" si="10"/>
        <v>4</v>
      </c>
      <c r="O22" s="106">
        <f t="shared" si="11"/>
        <v>5</v>
      </c>
      <c r="P22" s="106">
        <f t="shared" si="12"/>
        <v>5</v>
      </c>
      <c r="Q22" s="107" t="str">
        <f t="shared" si="13"/>
        <v>D'Virin-Class Frigate, Unique</v>
      </c>
      <c r="R22" s="108" t="str">
        <f t="shared" si="14"/>
        <v>Start: +3 Cap if Vathos has no Upgrade Tech</v>
      </c>
    </row>
    <row r="23" spans="2:18" ht="14" x14ac:dyDescent="0.15">
      <c r="B23" s="329">
        <v>5000</v>
      </c>
      <c r="C23" s="103">
        <f t="shared" si="0"/>
        <v>123</v>
      </c>
      <c r="D23" s="104" t="str">
        <f t="shared" si="1"/>
        <v>Klingon</v>
      </c>
      <c r="E23" s="105" t="s">
        <v>71</v>
      </c>
      <c r="F23" s="36" t="str">
        <f t="shared" si="2"/>
        <v>U</v>
      </c>
      <c r="G23" s="36">
        <f t="shared" si="3"/>
        <v>3</v>
      </c>
      <c r="H23" s="36">
        <f t="shared" si="4"/>
        <v>10</v>
      </c>
      <c r="I23" s="106" t="str">
        <f t="shared" si="5"/>
        <v>Ship-Standard</v>
      </c>
      <c r="J23" s="106">
        <f t="shared" si="6"/>
        <v>20</v>
      </c>
      <c r="K23" s="106">
        <f t="shared" si="7"/>
        <v>6</v>
      </c>
      <c r="L23" s="106">
        <f t="shared" si="8"/>
        <v>6</v>
      </c>
      <c r="M23" s="106">
        <f t="shared" si="9"/>
        <v>5</v>
      </c>
      <c r="N23" s="106">
        <f t="shared" si="10"/>
        <v>5</v>
      </c>
      <c r="O23" s="106">
        <f t="shared" si="11"/>
        <v>8</v>
      </c>
      <c r="P23" s="106">
        <f t="shared" si="12"/>
        <v>5</v>
      </c>
      <c r="Q23" s="107" t="str">
        <f t="shared" si="13"/>
        <v>K'Mpec-Class Hvy Warship, Unique</v>
      </c>
      <c r="R23" s="108" t="str">
        <f t="shared" si="14"/>
        <v>Start: -1 to cost of shield Upgrade Tech</v>
      </c>
    </row>
    <row r="24" spans="2:18" ht="14" x14ac:dyDescent="0.15">
      <c r="B24" s="329">
        <v>5000</v>
      </c>
      <c r="C24" s="103">
        <f t="shared" si="0"/>
        <v>124</v>
      </c>
      <c r="D24" s="104" t="str">
        <f t="shared" si="1"/>
        <v>Cardassian</v>
      </c>
      <c r="E24" s="105" t="s">
        <v>2</v>
      </c>
      <c r="F24" s="36" t="str">
        <f t="shared" si="2"/>
        <v>U</v>
      </c>
      <c r="G24" s="36">
        <f t="shared" si="3"/>
        <v>2</v>
      </c>
      <c r="H24" s="36">
        <f t="shared" si="4"/>
        <v>5</v>
      </c>
      <c r="I24" s="106" t="str">
        <f t="shared" si="5"/>
        <v>Ship-Standard</v>
      </c>
      <c r="J24" s="106">
        <f t="shared" si="6"/>
        <v>15</v>
      </c>
      <c r="K24" s="106">
        <f t="shared" si="7"/>
        <v>5</v>
      </c>
      <c r="L24" s="106">
        <f t="shared" si="8"/>
        <v>4</v>
      </c>
      <c r="M24" s="106">
        <f t="shared" si="9"/>
        <v>5</v>
      </c>
      <c r="N24" s="106">
        <f t="shared" si="10"/>
        <v>4</v>
      </c>
      <c r="O24" s="106">
        <f t="shared" si="11"/>
        <v>4</v>
      </c>
      <c r="P24" s="106">
        <f t="shared" si="12"/>
        <v>5</v>
      </c>
      <c r="Q24" s="107" t="str">
        <f t="shared" si="13"/>
        <v>Aberax-Class Destroyer, Unique</v>
      </c>
      <c r="R24" s="108" t="str">
        <f t="shared" si="14"/>
        <v>Start: -1 to cost of Torpedo Upgrade Tech</v>
      </c>
    </row>
    <row r="25" spans="2:18" ht="14" x14ac:dyDescent="0.15">
      <c r="B25" s="329">
        <v>5000</v>
      </c>
      <c r="C25" s="103">
        <f t="shared" si="0"/>
        <v>125</v>
      </c>
      <c r="D25" s="104" t="str">
        <f t="shared" si="1"/>
        <v>Romulan</v>
      </c>
      <c r="E25" s="105" t="s">
        <v>198</v>
      </c>
      <c r="F25" s="36" t="str">
        <f t="shared" si="2"/>
        <v>U</v>
      </c>
      <c r="G25" s="36">
        <f t="shared" si="3"/>
        <v>2</v>
      </c>
      <c r="H25" s="36">
        <f t="shared" si="4"/>
        <v>17</v>
      </c>
      <c r="I25" s="106" t="str">
        <f t="shared" si="5"/>
        <v>Ship-Large</v>
      </c>
      <c r="J25" s="106">
        <f t="shared" si="6"/>
        <v>28</v>
      </c>
      <c r="K25" s="106">
        <f t="shared" si="7"/>
        <v>7</v>
      </c>
      <c r="L25" s="106">
        <f t="shared" si="8"/>
        <v>7</v>
      </c>
      <c r="M25" s="106">
        <f t="shared" si="9"/>
        <v>7</v>
      </c>
      <c r="N25" s="106">
        <f t="shared" si="10"/>
        <v>6</v>
      </c>
      <c r="O25" s="106">
        <f t="shared" si="11"/>
        <v>10</v>
      </c>
      <c r="P25" s="106">
        <f t="shared" si="12"/>
        <v>4</v>
      </c>
      <c r="Q25" s="107" t="str">
        <f t="shared" si="13"/>
        <v>D'Deridex-Class Warbird, Flagship, Unique</v>
      </c>
      <c r="R25" s="108" t="str">
        <f t="shared" si="14"/>
        <v>+3 Command</v>
      </c>
    </row>
    <row r="26" spans="2:18" ht="14" x14ac:dyDescent="0.15">
      <c r="B26" s="329">
        <v>5000</v>
      </c>
      <c r="C26" s="103">
        <f t="shared" si="0"/>
        <v>126</v>
      </c>
      <c r="D26" s="104" t="str">
        <f t="shared" si="1"/>
        <v>Cardassian</v>
      </c>
      <c r="E26" s="105" t="s">
        <v>112</v>
      </c>
      <c r="F26" s="36" t="str">
        <f t="shared" si="2"/>
        <v>U</v>
      </c>
      <c r="G26" s="36">
        <f t="shared" si="3"/>
        <v>1</v>
      </c>
      <c r="H26" s="36">
        <f t="shared" si="4"/>
        <v>6</v>
      </c>
      <c r="I26" s="106" t="str">
        <f t="shared" si="5"/>
        <v>Ship-Large</v>
      </c>
      <c r="J26" s="106">
        <f t="shared" si="6"/>
        <v>23</v>
      </c>
      <c r="K26" s="106">
        <f t="shared" si="7"/>
        <v>7</v>
      </c>
      <c r="L26" s="106">
        <f t="shared" si="8"/>
        <v>6</v>
      </c>
      <c r="M26" s="106">
        <f t="shared" si="9"/>
        <v>7</v>
      </c>
      <c r="N26" s="106">
        <f t="shared" si="10"/>
        <v>6</v>
      </c>
      <c r="O26" s="106">
        <f t="shared" si="11"/>
        <v>9</v>
      </c>
      <c r="P26" s="106">
        <f t="shared" si="12"/>
        <v>4</v>
      </c>
      <c r="Q26" s="107" t="str">
        <f t="shared" si="13"/>
        <v>Kagor-Class Battleship, Flagship, Unique</v>
      </c>
      <c r="R26" s="108" t="str">
        <f t="shared" si="14"/>
        <v>+3 Command</v>
      </c>
    </row>
    <row r="27" spans="2:18" ht="14" x14ac:dyDescent="0.15">
      <c r="B27" s="329">
        <v>5000</v>
      </c>
      <c r="C27" s="103">
        <f t="shared" si="0"/>
        <v>127</v>
      </c>
      <c r="D27" s="104" t="str">
        <f t="shared" si="1"/>
        <v>Cardassian</v>
      </c>
      <c r="E27" s="105" t="s">
        <v>146</v>
      </c>
      <c r="F27" s="36" t="str">
        <f t="shared" si="2"/>
        <v>U</v>
      </c>
      <c r="G27" s="36">
        <f t="shared" si="3"/>
        <v>1</v>
      </c>
      <c r="H27" s="36">
        <f t="shared" si="4"/>
        <v>5</v>
      </c>
      <c r="I27" s="106" t="str">
        <f t="shared" si="5"/>
        <v>Ship-Small</v>
      </c>
      <c r="J27" s="106">
        <f t="shared" si="6"/>
        <v>11</v>
      </c>
      <c r="K27" s="106">
        <f t="shared" si="7"/>
        <v>4</v>
      </c>
      <c r="L27" s="106">
        <f t="shared" si="8"/>
        <v>3</v>
      </c>
      <c r="M27" s="106">
        <f t="shared" si="9"/>
        <v>3</v>
      </c>
      <c r="N27" s="106">
        <f t="shared" si="10"/>
        <v>3</v>
      </c>
      <c r="O27" s="106">
        <f t="shared" si="11"/>
        <v>3</v>
      </c>
      <c r="P27" s="106">
        <f t="shared" si="12"/>
        <v>6</v>
      </c>
      <c r="Q27" s="107" t="str">
        <f t="shared" si="13"/>
        <v>Mithras-class Escort, Unique</v>
      </c>
      <c r="R27" s="108" t="str">
        <f t="shared" si="14"/>
        <v>May Execute a Change Heading Order immediately after taking damage</v>
      </c>
    </row>
    <row r="28" spans="2:18" ht="14" customHeight="1" x14ac:dyDescent="0.15">
      <c r="B28" s="329">
        <v>5000</v>
      </c>
      <c r="C28" s="109">
        <f t="shared" si="0"/>
        <v>128</v>
      </c>
      <c r="D28" s="110" t="str">
        <f t="shared" si="1"/>
        <v>Klingon</v>
      </c>
      <c r="E28" s="111" t="s">
        <v>110</v>
      </c>
      <c r="F28" s="112" t="str">
        <f t="shared" si="2"/>
        <v>U</v>
      </c>
      <c r="G28" s="112">
        <f t="shared" si="3"/>
        <v>1</v>
      </c>
      <c r="H28" s="112">
        <f t="shared" si="4"/>
        <v>10</v>
      </c>
      <c r="I28" s="113" t="str">
        <f t="shared" si="5"/>
        <v>Ship-Small</v>
      </c>
      <c r="J28" s="113">
        <f t="shared" si="6"/>
        <v>12</v>
      </c>
      <c r="K28" s="113">
        <f t="shared" si="7"/>
        <v>5</v>
      </c>
      <c r="L28" s="113">
        <f t="shared" si="8"/>
        <v>3</v>
      </c>
      <c r="M28" s="113">
        <f t="shared" si="9"/>
        <v>3</v>
      </c>
      <c r="N28" s="113">
        <f t="shared" si="10"/>
        <v>3</v>
      </c>
      <c r="O28" s="113">
        <f t="shared" si="11"/>
        <v>3</v>
      </c>
      <c r="P28" s="113">
        <f t="shared" si="12"/>
        <v>6</v>
      </c>
      <c r="Q28" s="114" t="str">
        <f t="shared" si="13"/>
        <v>B'Rel-Class Scout, Unique</v>
      </c>
      <c r="R28" s="115" t="str">
        <f t="shared" si="14"/>
        <v>Start: Add 5 points of Beam Weapon Upgrade Tech if M'Char has no security or Away Team Crew</v>
      </c>
    </row>
    <row r="29" spans="2:18" ht="14" x14ac:dyDescent="0.15">
      <c r="B29" s="329"/>
      <c r="C29" s="16" t="str">
        <f t="shared" si="0"/>
        <v/>
      </c>
      <c r="D29" s="13" t="str">
        <f t="shared" si="1"/>
        <v/>
      </c>
      <c r="E29"/>
      <c r="F29" s="16" t="str">
        <f t="shared" si="2"/>
        <v/>
      </c>
      <c r="G29" s="16" t="str">
        <f t="shared" si="3"/>
        <v/>
      </c>
      <c r="H29" s="16" t="str">
        <f t="shared" si="4"/>
        <v/>
      </c>
      <c r="I29" s="38" t="str">
        <f t="shared" si="5"/>
        <v/>
      </c>
      <c r="J29" s="38" t="str">
        <f t="shared" si="6"/>
        <v/>
      </c>
      <c r="K29" s="38" t="str">
        <f t="shared" si="7"/>
        <v/>
      </c>
      <c r="L29" s="38" t="str">
        <f t="shared" si="8"/>
        <v/>
      </c>
      <c r="M29" s="38" t="str">
        <f t="shared" si="9"/>
        <v/>
      </c>
      <c r="N29" s="38" t="str">
        <f t="shared" si="10"/>
        <v/>
      </c>
      <c r="O29" s="38" t="str">
        <f t="shared" si="11"/>
        <v/>
      </c>
      <c r="P29" s="38" t="str">
        <f t="shared" si="12"/>
        <v/>
      </c>
      <c r="Q29" s="39" t="str">
        <f t="shared" si="13"/>
        <v/>
      </c>
      <c r="R29" s="39" t="str">
        <f t="shared" si="14"/>
        <v/>
      </c>
    </row>
    <row r="30" spans="2:18" ht="14" x14ac:dyDescent="0.15">
      <c r="B30" s="329">
        <v>3000</v>
      </c>
      <c r="C30" s="116">
        <f t="shared" si="0"/>
        <v>141</v>
      </c>
      <c r="D30" s="117" t="str">
        <f t="shared" si="1"/>
        <v>Federation</v>
      </c>
      <c r="E30" s="118" t="s">
        <v>187</v>
      </c>
      <c r="F30" s="119" t="str">
        <f t="shared" si="2"/>
        <v>R</v>
      </c>
      <c r="G30" s="119">
        <f t="shared" si="3"/>
        <v>3</v>
      </c>
      <c r="H30" s="119">
        <f t="shared" si="4"/>
        <v>11</v>
      </c>
      <c r="I30" s="120" t="str">
        <f t="shared" si="5"/>
        <v>Ship-Standard</v>
      </c>
      <c r="J30" s="120">
        <f t="shared" si="6"/>
        <v>20</v>
      </c>
      <c r="K30" s="120">
        <f t="shared" si="7"/>
        <v>6</v>
      </c>
      <c r="L30" s="120">
        <f t="shared" si="8"/>
        <v>6</v>
      </c>
      <c r="M30" s="120">
        <f t="shared" si="9"/>
        <v>5</v>
      </c>
      <c r="N30" s="120">
        <f t="shared" si="10"/>
        <v>6</v>
      </c>
      <c r="O30" s="120">
        <f t="shared" si="11"/>
        <v>8</v>
      </c>
      <c r="P30" s="120">
        <f t="shared" si="12"/>
        <v>5</v>
      </c>
      <c r="Q30" s="121" t="str">
        <f t="shared" si="13"/>
        <v>Galaxy-Class Explorer, Flagship, Unique</v>
      </c>
      <c r="R30" s="122" t="str">
        <f t="shared" si="14"/>
        <v>+3 Command</v>
      </c>
    </row>
    <row r="31" spans="2:18" ht="13" customHeight="1" x14ac:dyDescent="0.15">
      <c r="B31" s="329">
        <v>3000</v>
      </c>
      <c r="C31" s="123">
        <f t="shared" si="0"/>
        <v>142</v>
      </c>
      <c r="D31" s="124" t="str">
        <f t="shared" si="1"/>
        <v>Romulan</v>
      </c>
      <c r="E31" s="125" t="s">
        <v>197</v>
      </c>
      <c r="F31" s="29" t="str">
        <f t="shared" si="2"/>
        <v>R</v>
      </c>
      <c r="G31" s="29">
        <f t="shared" si="3"/>
        <v>3</v>
      </c>
      <c r="H31" s="29">
        <f t="shared" si="4"/>
        <v>10</v>
      </c>
      <c r="I31" s="126" t="str">
        <f t="shared" si="5"/>
        <v>Ship-Standard</v>
      </c>
      <c r="J31" s="126">
        <f t="shared" si="6"/>
        <v>20</v>
      </c>
      <c r="K31" s="126">
        <f t="shared" si="7"/>
        <v>5</v>
      </c>
      <c r="L31" s="126">
        <f t="shared" si="8"/>
        <v>5</v>
      </c>
      <c r="M31" s="126">
        <f t="shared" si="9"/>
        <v>5</v>
      </c>
      <c r="N31" s="126">
        <f t="shared" si="10"/>
        <v>4</v>
      </c>
      <c r="O31" s="126">
        <f t="shared" si="11"/>
        <v>5</v>
      </c>
      <c r="P31" s="126">
        <f t="shared" si="12"/>
        <v>5</v>
      </c>
      <c r="Q31" s="127" t="str">
        <f t="shared" si="13"/>
        <v>D'Virin-Class Frigate, Unique</v>
      </c>
      <c r="R31" s="128" t="str">
        <f t="shared" si="14"/>
        <v>Engineering Crits do not affect torpedo Upgrade Tech</v>
      </c>
    </row>
    <row r="32" spans="2:18" ht="13" customHeight="1" x14ac:dyDescent="0.15">
      <c r="B32" s="329">
        <v>3000</v>
      </c>
      <c r="C32" s="123">
        <f t="shared" si="0"/>
        <v>143</v>
      </c>
      <c r="D32" s="124" t="str">
        <f t="shared" si="1"/>
        <v>Romulan</v>
      </c>
      <c r="E32" s="125" t="s">
        <v>201</v>
      </c>
      <c r="F32" s="29" t="str">
        <f t="shared" si="2"/>
        <v>R</v>
      </c>
      <c r="G32" s="29">
        <f t="shared" si="3"/>
        <v>2</v>
      </c>
      <c r="H32" s="29">
        <f t="shared" si="4"/>
        <v>9</v>
      </c>
      <c r="I32" s="126" t="str">
        <f t="shared" si="5"/>
        <v>Ship-Standard</v>
      </c>
      <c r="J32" s="126">
        <f t="shared" si="6"/>
        <v>21</v>
      </c>
      <c r="K32" s="126">
        <f t="shared" si="7"/>
        <v>6</v>
      </c>
      <c r="L32" s="126">
        <f t="shared" si="8"/>
        <v>5</v>
      </c>
      <c r="M32" s="126">
        <f t="shared" si="9"/>
        <v>4</v>
      </c>
      <c r="N32" s="126">
        <f t="shared" si="10"/>
        <v>5</v>
      </c>
      <c r="O32" s="126">
        <f t="shared" si="11"/>
        <v>6</v>
      </c>
      <c r="P32" s="126">
        <f t="shared" si="12"/>
        <v>5</v>
      </c>
      <c r="Q32" s="127" t="str">
        <f t="shared" si="13"/>
        <v>T'Rasus-Class Cruiser, Unique</v>
      </c>
      <c r="R32" s="128" t="str">
        <f t="shared" si="14"/>
        <v>Start: -1 to cost of all other T'Rasus-Class ships in Fleet</v>
      </c>
    </row>
    <row r="33" spans="2:18" ht="13" customHeight="1" x14ac:dyDescent="0.15">
      <c r="B33" s="329">
        <v>3000</v>
      </c>
      <c r="C33" s="123">
        <f t="shared" si="0"/>
        <v>144</v>
      </c>
      <c r="D33" s="124" t="str">
        <f t="shared" si="1"/>
        <v>Ferengi</v>
      </c>
      <c r="E33" s="125" t="s">
        <v>36</v>
      </c>
      <c r="F33" s="29" t="str">
        <f t="shared" si="2"/>
        <v>R</v>
      </c>
      <c r="G33" s="29">
        <f t="shared" si="3"/>
        <v>4</v>
      </c>
      <c r="H33" s="29">
        <f t="shared" si="4"/>
        <v>12</v>
      </c>
      <c r="I33" s="126" t="str">
        <f t="shared" si="5"/>
        <v>Ship-Standard</v>
      </c>
      <c r="J33" s="126">
        <f t="shared" si="6"/>
        <v>16</v>
      </c>
      <c r="K33" s="126">
        <f t="shared" si="7"/>
        <v>5</v>
      </c>
      <c r="L33" s="126">
        <f t="shared" si="8"/>
        <v>4</v>
      </c>
      <c r="M33" s="126">
        <f t="shared" si="9"/>
        <v>4</v>
      </c>
      <c r="N33" s="126">
        <f t="shared" si="10"/>
        <v>4</v>
      </c>
      <c r="O33" s="126">
        <f t="shared" si="11"/>
        <v>5</v>
      </c>
      <c r="P33" s="126">
        <f t="shared" si="12"/>
        <v>5</v>
      </c>
      <c r="Q33" s="127" t="str">
        <f t="shared" si="13"/>
        <v>Hemba-Class Destroyer, Unique</v>
      </c>
      <c r="R33" s="128" t="str">
        <f t="shared" si="14"/>
        <v>May carry torpedoes of any race</v>
      </c>
    </row>
    <row r="34" spans="2:18" ht="13" customHeight="1" x14ac:dyDescent="0.15">
      <c r="B34" s="329">
        <v>3000</v>
      </c>
      <c r="C34" s="123">
        <f t="shared" si="0"/>
        <v>145</v>
      </c>
      <c r="D34" s="124" t="str">
        <f t="shared" si="1"/>
        <v>Ferengi</v>
      </c>
      <c r="E34" s="125" t="s">
        <v>39</v>
      </c>
      <c r="F34" s="29" t="str">
        <f t="shared" si="2"/>
        <v>R</v>
      </c>
      <c r="G34" s="29">
        <f t="shared" si="3"/>
        <v>4</v>
      </c>
      <c r="H34" s="29">
        <f t="shared" si="4"/>
        <v>13</v>
      </c>
      <c r="I34" s="126" t="str">
        <f t="shared" si="5"/>
        <v>Ship-Large</v>
      </c>
      <c r="J34" s="126">
        <f t="shared" si="6"/>
        <v>22</v>
      </c>
      <c r="K34" s="126">
        <f t="shared" si="7"/>
        <v>6</v>
      </c>
      <c r="L34" s="126">
        <f t="shared" si="8"/>
        <v>6</v>
      </c>
      <c r="M34" s="126">
        <f t="shared" si="9"/>
        <v>6</v>
      </c>
      <c r="N34" s="126">
        <f t="shared" si="10"/>
        <v>5</v>
      </c>
      <c r="O34" s="126">
        <f t="shared" si="11"/>
        <v>9</v>
      </c>
      <c r="P34" s="126">
        <f t="shared" si="12"/>
        <v>4</v>
      </c>
      <c r="Q34" s="127" t="str">
        <f t="shared" si="13"/>
        <v>Gu'Bok-Class Heavy Cruiser, Flagship, Unique</v>
      </c>
      <c r="R34" s="128" t="str">
        <f t="shared" si="14"/>
        <v>+3 Command</v>
      </c>
    </row>
    <row r="35" spans="2:18" ht="13" customHeight="1" x14ac:dyDescent="0.15">
      <c r="B35" s="329">
        <v>3000</v>
      </c>
      <c r="C35" s="123">
        <f t="shared" si="0"/>
        <v>146</v>
      </c>
      <c r="D35" s="124" t="str">
        <f t="shared" si="1"/>
        <v>Klingon</v>
      </c>
      <c r="E35" s="125" t="s">
        <v>400</v>
      </c>
      <c r="F35" s="29" t="str">
        <f t="shared" si="2"/>
        <v>R</v>
      </c>
      <c r="G35" s="29">
        <f t="shared" si="3"/>
        <v>1</v>
      </c>
      <c r="H35" s="29">
        <f t="shared" si="4"/>
        <v>7</v>
      </c>
      <c r="I35" s="126" t="str">
        <f t="shared" si="5"/>
        <v>Ship-Large</v>
      </c>
      <c r="J35" s="126">
        <f t="shared" si="6"/>
        <v>23</v>
      </c>
      <c r="K35" s="126">
        <f t="shared" si="7"/>
        <v>7</v>
      </c>
      <c r="L35" s="126">
        <f t="shared" si="8"/>
        <v>6</v>
      </c>
      <c r="M35" s="126">
        <f t="shared" si="9"/>
        <v>7</v>
      </c>
      <c r="N35" s="126">
        <f t="shared" si="10"/>
        <v>6</v>
      </c>
      <c r="O35" s="126">
        <f t="shared" si="11"/>
        <v>9</v>
      </c>
      <c r="P35" s="126">
        <f t="shared" si="12"/>
        <v>4</v>
      </c>
      <c r="Q35" s="127" t="str">
        <f t="shared" si="13"/>
        <v>Neg/Var-Class Battleship, Flagship, Unique</v>
      </c>
      <c r="R35" s="128" t="str">
        <f t="shared" si="14"/>
        <v>+3 Command</v>
      </c>
    </row>
    <row r="36" spans="2:18" ht="13" customHeight="1" x14ac:dyDescent="0.15">
      <c r="B36" s="329">
        <v>3000</v>
      </c>
      <c r="C36" s="123">
        <f t="shared" si="0"/>
        <v>147</v>
      </c>
      <c r="D36" s="124" t="str">
        <f t="shared" si="1"/>
        <v>Federation</v>
      </c>
      <c r="E36" s="125" t="s">
        <v>192</v>
      </c>
      <c r="F36" s="29" t="str">
        <f t="shared" si="2"/>
        <v>R</v>
      </c>
      <c r="G36" s="29">
        <f t="shared" si="3"/>
        <v>4</v>
      </c>
      <c r="H36" s="29">
        <f t="shared" si="4"/>
        <v>9</v>
      </c>
      <c r="I36" s="126" t="str">
        <f t="shared" si="5"/>
        <v>Ship-Small</v>
      </c>
      <c r="J36" s="126">
        <f t="shared" si="6"/>
        <v>12</v>
      </c>
      <c r="K36" s="126">
        <f t="shared" si="7"/>
        <v>4</v>
      </c>
      <c r="L36" s="126">
        <f t="shared" si="8"/>
        <v>4</v>
      </c>
      <c r="M36" s="126">
        <f t="shared" si="9"/>
        <v>3</v>
      </c>
      <c r="N36" s="126">
        <f t="shared" si="10"/>
        <v>3</v>
      </c>
      <c r="O36" s="126">
        <f t="shared" si="11"/>
        <v>3</v>
      </c>
      <c r="P36" s="126">
        <f t="shared" si="12"/>
        <v>6</v>
      </c>
      <c r="Q36" s="127" t="str">
        <f t="shared" si="13"/>
        <v>Apollo-Class Light Cruiser, Unique</v>
      </c>
      <c r="R36" s="128" t="str">
        <f t="shared" si="14"/>
        <v>May execute a Change Heading Order immediately after any Change Speed Order</v>
      </c>
    </row>
    <row r="37" spans="2:18" ht="13" customHeight="1" x14ac:dyDescent="0.15">
      <c r="B37" s="329">
        <v>3000</v>
      </c>
      <c r="C37" s="129">
        <f t="shared" si="0"/>
        <v>148</v>
      </c>
      <c r="D37" s="130" t="str">
        <f t="shared" si="1"/>
        <v>Ferengi</v>
      </c>
      <c r="E37" s="131" t="s">
        <v>396</v>
      </c>
      <c r="F37" s="132" t="str">
        <f t="shared" si="2"/>
        <v>R</v>
      </c>
      <c r="G37" s="132">
        <f t="shared" si="3"/>
        <v>9</v>
      </c>
      <c r="H37" s="132">
        <f t="shared" si="4"/>
        <v>15</v>
      </c>
      <c r="I37" s="133" t="str">
        <f t="shared" si="5"/>
        <v>Ship-Small</v>
      </c>
      <c r="J37" s="133">
        <f t="shared" si="6"/>
        <v>11</v>
      </c>
      <c r="K37" s="133">
        <f t="shared" si="7"/>
        <v>3</v>
      </c>
      <c r="L37" s="133">
        <f t="shared" si="8"/>
        <v>4</v>
      </c>
      <c r="M37" s="133">
        <f t="shared" si="9"/>
        <v>3</v>
      </c>
      <c r="N37" s="133">
        <f t="shared" si="10"/>
        <v>3</v>
      </c>
      <c r="O37" s="133">
        <f t="shared" si="11"/>
        <v>3</v>
      </c>
      <c r="P37" s="133">
        <f t="shared" si="12"/>
        <v>6</v>
      </c>
      <c r="Q37" s="134" t="str">
        <f t="shared" si="13"/>
        <v>To'Piln-Class Heavy Escort, Unique</v>
      </c>
      <c r="R37" s="135" t="str">
        <f t="shared" si="14"/>
        <v>Start: -1 to cost of Upgrade Tech</v>
      </c>
    </row>
    <row r="38" spans="2:18" ht="13" customHeight="1" x14ac:dyDescent="0.15">
      <c r="C38" s="16" t="str">
        <f t="shared" si="0"/>
        <v/>
      </c>
      <c r="D38" s="13" t="str">
        <f t="shared" si="1"/>
        <v/>
      </c>
      <c r="F38" s="16" t="str">
        <f t="shared" si="2"/>
        <v/>
      </c>
      <c r="G38" s="16" t="str">
        <f t="shared" si="3"/>
        <v/>
      </c>
      <c r="H38" s="16" t="str">
        <f t="shared" si="4"/>
        <v/>
      </c>
      <c r="I38" s="38" t="str">
        <f t="shared" si="5"/>
        <v/>
      </c>
      <c r="J38" s="38" t="str">
        <f t="shared" si="6"/>
        <v/>
      </c>
      <c r="K38" s="38" t="str">
        <f t="shared" si="7"/>
        <v/>
      </c>
      <c r="L38" s="38" t="str">
        <f t="shared" si="8"/>
        <v/>
      </c>
      <c r="M38" s="38" t="str">
        <f t="shared" si="9"/>
        <v/>
      </c>
      <c r="N38" s="38" t="str">
        <f t="shared" si="10"/>
        <v/>
      </c>
      <c r="O38" s="38" t="str">
        <f t="shared" si="11"/>
        <v/>
      </c>
      <c r="P38" s="38" t="str">
        <f t="shared" si="12"/>
        <v/>
      </c>
      <c r="Q38" s="39" t="str">
        <f t="shared" si="13"/>
        <v/>
      </c>
      <c r="R38" s="39" t="str">
        <f t="shared" si="14"/>
        <v/>
      </c>
    </row>
    <row r="39" spans="2:18" ht="13" customHeight="1" x14ac:dyDescent="0.15">
      <c r="C39" s="16" t="str">
        <f t="shared" si="0"/>
        <v/>
      </c>
      <c r="D39" s="13" t="str">
        <f t="shared" si="1"/>
        <v/>
      </c>
      <c r="F39" s="16" t="str">
        <f t="shared" si="2"/>
        <v/>
      </c>
      <c r="G39" s="16" t="str">
        <f t="shared" si="3"/>
        <v/>
      </c>
      <c r="H39" s="16" t="str">
        <f t="shared" si="4"/>
        <v/>
      </c>
      <c r="I39" s="38" t="str">
        <f t="shared" si="5"/>
        <v/>
      </c>
      <c r="J39" s="38" t="str">
        <f t="shared" si="6"/>
        <v/>
      </c>
      <c r="K39" s="38" t="str">
        <f t="shared" si="7"/>
        <v/>
      </c>
      <c r="L39" s="38" t="str">
        <f t="shared" si="8"/>
        <v/>
      </c>
      <c r="M39" s="38" t="str">
        <f t="shared" si="9"/>
        <v/>
      </c>
      <c r="N39" s="38" t="str">
        <f t="shared" si="10"/>
        <v/>
      </c>
      <c r="O39" s="38" t="str">
        <f t="shared" si="11"/>
        <v/>
      </c>
      <c r="P39" s="38" t="str">
        <f t="shared" si="12"/>
        <v/>
      </c>
      <c r="Q39" s="39" t="str">
        <f t="shared" si="13"/>
        <v/>
      </c>
      <c r="R39" s="39" t="str">
        <f t="shared" si="14"/>
        <v/>
      </c>
    </row>
    <row r="40" spans="2:18" ht="14" x14ac:dyDescent="0.15">
      <c r="D40" s="13" t="str">
        <f t="shared" si="1"/>
        <v/>
      </c>
      <c r="F40" s="16" t="str">
        <f t="shared" si="2"/>
        <v/>
      </c>
      <c r="G40" s="16" t="str">
        <f t="shared" si="3"/>
        <v/>
      </c>
      <c r="H40" s="16" t="str">
        <f t="shared" si="4"/>
        <v/>
      </c>
      <c r="I40" s="38" t="str">
        <f t="shared" si="5"/>
        <v/>
      </c>
      <c r="K40" s="38" t="str">
        <f t="shared" si="7"/>
        <v/>
      </c>
      <c r="L40" s="38" t="str">
        <f t="shared" si="8"/>
        <v/>
      </c>
      <c r="M40" s="38" t="str">
        <f t="shared" si="9"/>
        <v/>
      </c>
      <c r="N40" s="38" t="str">
        <f t="shared" si="10"/>
        <v/>
      </c>
      <c r="O40" s="38" t="str">
        <f t="shared" si="11"/>
        <v/>
      </c>
      <c r="P40" s="38" t="str">
        <f t="shared" si="12"/>
        <v/>
      </c>
      <c r="Q40" s="39" t="str">
        <f t="shared" si="13"/>
        <v/>
      </c>
      <c r="R40" s="39" t="str">
        <f t="shared" si="14"/>
        <v/>
      </c>
    </row>
    <row r="41" spans="2:18" ht="14" x14ac:dyDescent="0.15">
      <c r="D41" s="13" t="str">
        <f t="shared" si="1"/>
        <v/>
      </c>
      <c r="F41" s="16" t="str">
        <f>IF(E41="","",VLOOKUP(E41,DISCNAME,7,FALSE))</f>
        <v/>
      </c>
      <c r="G41" s="16" t="str">
        <f t="shared" si="3"/>
        <v/>
      </c>
      <c r="H41" s="16" t="str">
        <f t="shared" si="4"/>
        <v/>
      </c>
      <c r="I41" s="38" t="str">
        <f t="shared" si="5"/>
        <v/>
      </c>
    </row>
    <row r="42" spans="2:18" ht="14" x14ac:dyDescent="0.15">
      <c r="D42" s="13" t="str">
        <f t="shared" si="1"/>
        <v/>
      </c>
      <c r="G42" s="16" t="str">
        <f t="shared" ref="G42:G43" si="15">IF(E42="","",VLOOKUP(E42,DISCLIST,3,FALSE)+VLOOKUP(E42,DISCLIST,4,FALSE))</f>
        <v/>
      </c>
      <c r="H42" s="16" t="str">
        <f t="shared" si="4"/>
        <v/>
      </c>
      <c r="I42" s="38" t="str">
        <f t="shared" si="5"/>
        <v/>
      </c>
    </row>
    <row r="43" spans="2:18" x14ac:dyDescent="0.15">
      <c r="G43" s="16" t="str">
        <f t="shared" si="15"/>
        <v/>
      </c>
      <c r="H43" s="16" t="str">
        <f>IF(C43="","",VLOOKUP(C43,FLATLIST,11))</f>
        <v/>
      </c>
    </row>
    <row r="44" spans="2:18" x14ac:dyDescent="0.15">
      <c r="H44" s="16" t="str">
        <f>IF(C44="","",VLOOKUP(C44,FLATLIST,11))</f>
        <v/>
      </c>
    </row>
    <row r="45" spans="2:18" x14ac:dyDescent="0.15">
      <c r="H45" s="16" t="str">
        <f>IF(C45="","",VLOOKUP(C45,FLATLIST,11))</f>
        <v/>
      </c>
    </row>
  </sheetData>
  <autoFilter ref="B1:R45" xr:uid="{80FFAC72-8786-C84E-9DD3-9ADC5860AE2C}"/>
  <pageMargins left="0.5" right="0.5" top="0.75" bottom="0.75" header="0.5" footer="0.5"/>
  <pageSetup orientation="landscape" horizontalDpi="300" verticalDpi="300"/>
  <headerFooter>
    <oddHeader>&amp;CRed Alert! Disk List</oddHeader>
    <oddFooter>&amp;L&amp;D&amp;CPage &amp;P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Q45"/>
  <sheetViews>
    <sheetView showRuler="0" workbookViewId="0">
      <pane ySplit="1" topLeftCell="A2" activePane="bottomLeft" state="frozen"/>
      <selection activeCell="I47" sqref="I47"/>
      <selection pane="bottomLeft" activeCell="B35" sqref="B35"/>
    </sheetView>
  </sheetViews>
  <sheetFormatPr baseColWidth="10" defaultColWidth="3.6640625" defaultRowHeight="13" x14ac:dyDescent="0.15"/>
  <cols>
    <col min="1" max="1" width="2.83203125" style="3" customWidth="1"/>
    <col min="2" max="2" width="6.83203125" style="4" customWidth="1"/>
    <col min="3" max="3" width="11.83203125" style="4" customWidth="1"/>
    <col min="4" max="4" width="25.83203125" style="3" customWidth="1"/>
    <col min="5" max="5" width="5.83203125" style="4" customWidth="1"/>
    <col min="6" max="7" width="8.33203125" style="4" customWidth="1"/>
    <col min="8" max="8" width="14.1640625" style="4" customWidth="1"/>
    <col min="9" max="9" width="4.83203125" style="4" bestFit="1" customWidth="1"/>
    <col min="10" max="10" width="10.33203125" style="4" customWidth="1"/>
    <col min="11" max="11" width="8.5" style="4" customWidth="1"/>
    <col min="12" max="12" width="7.6640625" style="4" customWidth="1"/>
    <col min="13" max="13" width="8.33203125" style="4" bestFit="1" customWidth="1"/>
    <col min="14" max="14" width="7.6640625" style="4" customWidth="1"/>
    <col min="15" max="15" width="6.5" style="4" customWidth="1"/>
    <col min="16" max="16" width="37.1640625" style="3" customWidth="1"/>
    <col min="17" max="17" width="75" style="3" customWidth="1"/>
    <col min="18" max="16384" width="3.6640625" style="3"/>
  </cols>
  <sheetData>
    <row r="1" spans="2:17" s="1" customFormat="1" ht="29" thickBot="1" x14ac:dyDescent="0.2">
      <c r="B1" s="34" t="s">
        <v>435</v>
      </c>
      <c r="C1" s="34" t="s">
        <v>579</v>
      </c>
      <c r="D1" s="35" t="s">
        <v>448</v>
      </c>
      <c r="E1" s="34" t="s">
        <v>1</v>
      </c>
      <c r="F1" s="34" t="s">
        <v>569</v>
      </c>
      <c r="G1" s="34" t="s">
        <v>570</v>
      </c>
      <c r="H1" s="34" t="s">
        <v>447</v>
      </c>
      <c r="I1" s="34" t="s">
        <v>139</v>
      </c>
      <c r="J1" s="34" t="s">
        <v>403</v>
      </c>
      <c r="K1" s="34" t="s">
        <v>404</v>
      </c>
      <c r="L1" s="34" t="s">
        <v>405</v>
      </c>
      <c r="M1" s="34" t="s">
        <v>406</v>
      </c>
      <c r="N1" s="34" t="s">
        <v>407</v>
      </c>
      <c r="O1" s="34" t="s">
        <v>150</v>
      </c>
      <c r="P1" s="35" t="s">
        <v>140</v>
      </c>
      <c r="Q1" s="35" t="s">
        <v>203</v>
      </c>
    </row>
    <row r="2" spans="2:17" s="1" customFormat="1" ht="14" x14ac:dyDescent="0.15">
      <c r="B2" s="16" t="str">
        <f t="shared" ref="B2:B40" si="0">IF($D2="","",VLOOKUP($D2,DISCNAME,22,FALSE))</f>
        <v/>
      </c>
      <c r="C2" s="13" t="str">
        <f t="shared" ref="C2:C40" si="1">IF($B2="","",VLOOKUP($B2,FLATNUM,5,FALSE))</f>
        <v/>
      </c>
      <c r="E2" s="16" t="str">
        <f t="shared" ref="E2:E43" si="2">IF($D2="","",VLOOKUP($D2,DISCNAME,7,FALSE))</f>
        <v/>
      </c>
      <c r="F2" s="16" t="str">
        <f t="shared" ref="F2:F43" si="3">IF(D2="","",VLOOKUP(D2,DISCNAME,3,FALSE)+VLOOKUP(D2,DISCNAME,4,FALSE))</f>
        <v/>
      </c>
      <c r="G2" s="16" t="str">
        <f t="shared" ref="G2:G43" si="4">IF($D2="","",VLOOKUP($D2,DISCNAME,5,FALSE))</f>
        <v/>
      </c>
      <c r="H2" s="38" t="str">
        <f t="shared" ref="H2:H43" si="5">IF($D2="","",VLOOKUP($D2,DISCNAME,8,FALSE))</f>
        <v/>
      </c>
      <c r="I2" s="38" t="str">
        <f t="shared" ref="I2:I43" si="6">IF($D2="","",VLOOKUP($D2,DISCNAME,13,FALSE))</f>
        <v/>
      </c>
      <c r="J2" s="38" t="str">
        <f t="shared" ref="J2:J43" si="7">IF($D2="","",VLOOKUP($D2,DISCNAME,14,FALSE))</f>
        <v/>
      </c>
      <c r="K2" s="38" t="str">
        <f t="shared" ref="K2:K43" si="8">IF($D2="","",VLOOKUP($D2,DISCNAME,15,FALSE))</f>
        <v/>
      </c>
      <c r="L2" s="38" t="str">
        <f t="shared" ref="L2:L43" si="9">IF($D2="","",VLOOKUP($D2,DISCNAME,16,FALSE))</f>
        <v/>
      </c>
      <c r="M2" s="38" t="str">
        <f t="shared" ref="M2:M43" si="10">IF($D2="","",VLOOKUP($D2,DISCNAME,17,FALSE))</f>
        <v/>
      </c>
      <c r="N2" s="38" t="str">
        <f t="shared" ref="N2:N43" si="11">IF($D2="","",VLOOKUP($D2,DISCNAME,18,FALSE))</f>
        <v/>
      </c>
      <c r="O2" s="38" t="str">
        <f t="shared" ref="O2:O43" si="12">IF($D2="","",VLOOKUP($D2,DISCNAME,19,FALSE))</f>
        <v/>
      </c>
      <c r="P2" s="39" t="str">
        <f t="shared" ref="P2:P43" si="13">IF($D2="","",VLOOKUP($D2,DISCNAME,20,FALSE))</f>
        <v/>
      </c>
      <c r="Q2" s="39" t="str">
        <f t="shared" ref="Q2:Q43" si="14">IF($D2="","",VLOOKUP($D2,DISCNAME,21,FALSE))</f>
        <v/>
      </c>
    </row>
    <row r="3" spans="2:17" ht="14" x14ac:dyDescent="0.15">
      <c r="B3" s="191">
        <f t="shared" si="0"/>
        <v>161</v>
      </c>
      <c r="C3" s="192" t="str">
        <f t="shared" si="1"/>
        <v>Federation</v>
      </c>
      <c r="D3" s="193" t="s">
        <v>185</v>
      </c>
      <c r="E3" s="194" t="str">
        <f t="shared" si="2"/>
        <v>E</v>
      </c>
      <c r="F3" s="194">
        <f t="shared" si="3"/>
        <v>3</v>
      </c>
      <c r="G3" s="194">
        <f t="shared" si="4"/>
        <v>7</v>
      </c>
      <c r="H3" s="195" t="str">
        <f t="shared" si="5"/>
        <v>Ship-Standard</v>
      </c>
      <c r="I3" s="195">
        <f t="shared" si="6"/>
        <v>16</v>
      </c>
      <c r="J3" s="195">
        <f t="shared" si="7"/>
        <v>4</v>
      </c>
      <c r="K3" s="195">
        <f t="shared" si="8"/>
        <v>5</v>
      </c>
      <c r="L3" s="195">
        <f t="shared" si="9"/>
        <v>4</v>
      </c>
      <c r="M3" s="195">
        <f t="shared" si="10"/>
        <v>4</v>
      </c>
      <c r="N3" s="195">
        <f t="shared" si="11"/>
        <v>6</v>
      </c>
      <c r="O3" s="195">
        <f t="shared" si="12"/>
        <v>5</v>
      </c>
      <c r="P3" s="196" t="str">
        <f t="shared" si="13"/>
        <v>Steamrunner-Class Frigate, Unique</v>
      </c>
      <c r="Q3" s="197" t="str">
        <f t="shared" si="14"/>
        <v>Start: +3 cap if Appalachia has no Upgrade Tech</v>
      </c>
    </row>
    <row r="4" spans="2:17" ht="14" x14ac:dyDescent="0.15">
      <c r="B4" s="198">
        <f t="shared" si="0"/>
        <v>166</v>
      </c>
      <c r="C4" s="166" t="str">
        <f t="shared" si="1"/>
        <v>Federation</v>
      </c>
      <c r="D4" s="167" t="s">
        <v>189</v>
      </c>
      <c r="E4" s="168" t="str">
        <f t="shared" si="2"/>
        <v>E</v>
      </c>
      <c r="F4" s="168">
        <f t="shared" si="3"/>
        <v>2</v>
      </c>
      <c r="G4" s="168">
        <f t="shared" si="4"/>
        <v>5</v>
      </c>
      <c r="H4" s="169" t="str">
        <f t="shared" si="5"/>
        <v>Ship-Standard</v>
      </c>
      <c r="I4" s="169">
        <f t="shared" si="6"/>
        <v>20</v>
      </c>
      <c r="J4" s="169">
        <f t="shared" si="7"/>
        <v>6</v>
      </c>
      <c r="K4" s="169">
        <f t="shared" si="8"/>
        <v>6</v>
      </c>
      <c r="L4" s="169">
        <f t="shared" si="9"/>
        <v>5</v>
      </c>
      <c r="M4" s="169">
        <f t="shared" si="10"/>
        <v>5</v>
      </c>
      <c r="N4" s="169">
        <f t="shared" si="11"/>
        <v>8</v>
      </c>
      <c r="O4" s="169">
        <f t="shared" si="12"/>
        <v>5</v>
      </c>
      <c r="P4" s="170" t="str">
        <f t="shared" si="13"/>
        <v>Galaxy-Class Explorer, Unique</v>
      </c>
      <c r="Q4" s="199" t="str">
        <f t="shared" si="14"/>
        <v>Start: -1 to cost of Torpedo Upgrade Tech</v>
      </c>
    </row>
    <row r="5" spans="2:17" ht="14" x14ac:dyDescent="0.15">
      <c r="B5" s="198">
        <f t="shared" si="0"/>
        <v>101</v>
      </c>
      <c r="C5" s="166" t="str">
        <f t="shared" si="1"/>
        <v>Federation</v>
      </c>
      <c r="D5" s="167" t="s">
        <v>186</v>
      </c>
      <c r="E5" s="168" t="str">
        <f t="shared" si="2"/>
        <v>C</v>
      </c>
      <c r="F5" s="168">
        <f t="shared" si="3"/>
        <v>11</v>
      </c>
      <c r="G5" s="168">
        <f t="shared" si="4"/>
        <v>35</v>
      </c>
      <c r="H5" s="169" t="str">
        <f t="shared" si="5"/>
        <v>Ship-Standard</v>
      </c>
      <c r="I5" s="169">
        <f t="shared" si="6"/>
        <v>18</v>
      </c>
      <c r="J5" s="169">
        <f t="shared" si="7"/>
        <v>5</v>
      </c>
      <c r="K5" s="169">
        <f t="shared" si="8"/>
        <v>6</v>
      </c>
      <c r="L5" s="169">
        <f t="shared" si="9"/>
        <v>4</v>
      </c>
      <c r="M5" s="169">
        <f t="shared" si="10"/>
        <v>5</v>
      </c>
      <c r="N5" s="169">
        <f t="shared" si="11"/>
        <v>6</v>
      </c>
      <c r="O5" s="169">
        <f t="shared" si="12"/>
        <v>5</v>
      </c>
      <c r="P5" s="170" t="str">
        <f t="shared" si="13"/>
        <v>Nebula-Class Cruiser, Unique</v>
      </c>
      <c r="Q5" s="199" t="str">
        <f t="shared" si="14"/>
        <v>Start: -1 to cost of sensor Upgrade Tech</v>
      </c>
    </row>
    <row r="6" spans="2:17" ht="14" x14ac:dyDescent="0.15">
      <c r="B6" s="198">
        <f t="shared" si="0"/>
        <v>106</v>
      </c>
      <c r="C6" s="166" t="str">
        <f t="shared" si="1"/>
        <v>Federation</v>
      </c>
      <c r="D6" s="167" t="s">
        <v>190</v>
      </c>
      <c r="E6" s="168" t="str">
        <f t="shared" si="2"/>
        <v>C</v>
      </c>
      <c r="F6" s="168">
        <f t="shared" si="3"/>
        <v>9</v>
      </c>
      <c r="G6" s="168">
        <f t="shared" si="4"/>
        <v>33</v>
      </c>
      <c r="H6" s="169" t="str">
        <f t="shared" si="5"/>
        <v>Ship-Standard</v>
      </c>
      <c r="I6" s="169">
        <f t="shared" si="6"/>
        <v>15</v>
      </c>
      <c r="J6" s="169">
        <f t="shared" si="7"/>
        <v>4</v>
      </c>
      <c r="K6" s="169">
        <f t="shared" si="8"/>
        <v>5</v>
      </c>
      <c r="L6" s="169">
        <f t="shared" si="9"/>
        <v>4</v>
      </c>
      <c r="M6" s="169">
        <f t="shared" si="10"/>
        <v>4</v>
      </c>
      <c r="N6" s="169">
        <f t="shared" si="11"/>
        <v>6</v>
      </c>
      <c r="O6" s="169">
        <f t="shared" si="12"/>
        <v>5</v>
      </c>
      <c r="P6" s="170" t="str">
        <f t="shared" si="13"/>
        <v>Saber-Class Light Cruiser, Unique</v>
      </c>
      <c r="Q6" s="199" t="str">
        <f t="shared" si="14"/>
        <v>Start: +1 Torp for every point of unused cap</v>
      </c>
    </row>
    <row r="7" spans="2:17" ht="14" x14ac:dyDescent="0.15">
      <c r="B7" s="198">
        <f t="shared" si="0"/>
        <v>121</v>
      </c>
      <c r="C7" s="166" t="str">
        <f t="shared" si="1"/>
        <v>Federation</v>
      </c>
      <c r="D7" s="167" t="s">
        <v>188</v>
      </c>
      <c r="E7" s="168" t="str">
        <f t="shared" si="2"/>
        <v>U</v>
      </c>
      <c r="F7" s="168">
        <f t="shared" si="3"/>
        <v>2</v>
      </c>
      <c r="G7" s="168">
        <f t="shared" si="4"/>
        <v>7</v>
      </c>
      <c r="H7" s="169" t="str">
        <f t="shared" si="5"/>
        <v>Ship-Standard</v>
      </c>
      <c r="I7" s="169">
        <f t="shared" si="6"/>
        <v>15</v>
      </c>
      <c r="J7" s="169">
        <f t="shared" si="7"/>
        <v>4</v>
      </c>
      <c r="K7" s="169">
        <f t="shared" si="8"/>
        <v>5</v>
      </c>
      <c r="L7" s="169">
        <f t="shared" si="9"/>
        <v>3</v>
      </c>
      <c r="M7" s="169">
        <f t="shared" si="10"/>
        <v>4</v>
      </c>
      <c r="N7" s="169">
        <f t="shared" si="11"/>
        <v>7</v>
      </c>
      <c r="O7" s="169">
        <f t="shared" si="12"/>
        <v>5</v>
      </c>
      <c r="P7" s="170" t="str">
        <f t="shared" si="13"/>
        <v>Ambassador-Class Explorer, Unique</v>
      </c>
      <c r="Q7" s="199" t="str">
        <f t="shared" si="14"/>
        <v>Engineering Crits do not affect sensor Upgrade Tech</v>
      </c>
    </row>
    <row r="8" spans="2:17" ht="14" x14ac:dyDescent="0.15">
      <c r="B8" s="198">
        <f t="shared" si="0"/>
        <v>141</v>
      </c>
      <c r="C8" s="166" t="str">
        <f t="shared" si="1"/>
        <v>Federation</v>
      </c>
      <c r="D8" s="167" t="s">
        <v>187</v>
      </c>
      <c r="E8" s="168" t="str">
        <f t="shared" si="2"/>
        <v>R</v>
      </c>
      <c r="F8" s="168">
        <f t="shared" si="3"/>
        <v>3</v>
      </c>
      <c r="G8" s="168">
        <f t="shared" si="4"/>
        <v>11</v>
      </c>
      <c r="H8" s="169" t="str">
        <f t="shared" si="5"/>
        <v>Ship-Standard</v>
      </c>
      <c r="I8" s="169">
        <f t="shared" si="6"/>
        <v>20</v>
      </c>
      <c r="J8" s="169">
        <f t="shared" si="7"/>
        <v>6</v>
      </c>
      <c r="K8" s="169">
        <f t="shared" si="8"/>
        <v>6</v>
      </c>
      <c r="L8" s="169">
        <f t="shared" si="9"/>
        <v>5</v>
      </c>
      <c r="M8" s="169">
        <f t="shared" si="10"/>
        <v>6</v>
      </c>
      <c r="N8" s="169">
        <f t="shared" si="11"/>
        <v>8</v>
      </c>
      <c r="O8" s="169">
        <f t="shared" si="12"/>
        <v>5</v>
      </c>
      <c r="P8" s="170" t="str">
        <f t="shared" si="13"/>
        <v>Galaxy-Class Explorer, Flagship, Unique</v>
      </c>
      <c r="Q8" s="199" t="str">
        <f t="shared" si="14"/>
        <v>+3 Command</v>
      </c>
    </row>
    <row r="9" spans="2:17" ht="14" x14ac:dyDescent="0.15">
      <c r="B9" s="200">
        <f t="shared" si="0"/>
        <v>147</v>
      </c>
      <c r="C9" s="201" t="str">
        <f t="shared" si="1"/>
        <v>Federation</v>
      </c>
      <c r="D9" s="202" t="s">
        <v>192</v>
      </c>
      <c r="E9" s="203" t="str">
        <f t="shared" si="2"/>
        <v>R</v>
      </c>
      <c r="F9" s="203">
        <f t="shared" si="3"/>
        <v>4</v>
      </c>
      <c r="G9" s="203">
        <f t="shared" si="4"/>
        <v>9</v>
      </c>
      <c r="H9" s="204" t="str">
        <f t="shared" si="5"/>
        <v>Ship-Small</v>
      </c>
      <c r="I9" s="204">
        <f t="shared" si="6"/>
        <v>12</v>
      </c>
      <c r="J9" s="204">
        <f t="shared" si="7"/>
        <v>4</v>
      </c>
      <c r="K9" s="204">
        <f t="shared" si="8"/>
        <v>4</v>
      </c>
      <c r="L9" s="204">
        <f t="shared" si="9"/>
        <v>3</v>
      </c>
      <c r="M9" s="204">
        <f t="shared" si="10"/>
        <v>3</v>
      </c>
      <c r="N9" s="204">
        <f t="shared" si="11"/>
        <v>3</v>
      </c>
      <c r="O9" s="204">
        <f t="shared" si="12"/>
        <v>6</v>
      </c>
      <c r="P9" s="205" t="str">
        <f t="shared" si="13"/>
        <v>Apollo-Class Light Cruiser, Unique</v>
      </c>
      <c r="Q9" s="206" t="str">
        <f t="shared" si="14"/>
        <v>May execute a Change Heading Order immediately after any Change Speed Order</v>
      </c>
    </row>
    <row r="10" spans="2:17" ht="14" x14ac:dyDescent="0.15">
      <c r="B10" s="16" t="str">
        <f t="shared" si="0"/>
        <v/>
      </c>
      <c r="C10" s="13" t="str">
        <f t="shared" si="1"/>
        <v/>
      </c>
      <c r="D10"/>
      <c r="E10" s="16" t="str">
        <f t="shared" si="2"/>
        <v/>
      </c>
      <c r="F10" s="16" t="str">
        <f t="shared" si="3"/>
        <v/>
      </c>
      <c r="G10" s="16" t="str">
        <f t="shared" si="4"/>
        <v/>
      </c>
      <c r="H10" s="38" t="str">
        <f t="shared" si="5"/>
        <v/>
      </c>
      <c r="I10" s="38" t="str">
        <f t="shared" si="6"/>
        <v/>
      </c>
      <c r="J10" s="38" t="str">
        <f t="shared" si="7"/>
        <v/>
      </c>
      <c r="K10" s="38" t="str">
        <f t="shared" si="8"/>
        <v/>
      </c>
      <c r="L10" s="38" t="str">
        <f t="shared" si="9"/>
        <v/>
      </c>
      <c r="M10" s="38" t="str">
        <f t="shared" si="10"/>
        <v/>
      </c>
      <c r="N10" s="38" t="str">
        <f t="shared" si="11"/>
        <v/>
      </c>
      <c r="O10" s="38" t="str">
        <f t="shared" si="12"/>
        <v/>
      </c>
      <c r="P10" s="39" t="str">
        <f t="shared" si="13"/>
        <v/>
      </c>
      <c r="Q10" s="39" t="str">
        <f t="shared" si="14"/>
        <v/>
      </c>
    </row>
    <row r="11" spans="2:17" ht="14" x14ac:dyDescent="0.15">
      <c r="B11" s="207">
        <f t="shared" si="0"/>
        <v>171</v>
      </c>
      <c r="C11" s="208" t="str">
        <f t="shared" si="1"/>
        <v>Romulan</v>
      </c>
      <c r="D11" s="209" t="s">
        <v>199</v>
      </c>
      <c r="E11" s="210" t="str">
        <f t="shared" si="2"/>
        <v>E</v>
      </c>
      <c r="F11" s="210">
        <f t="shared" si="3"/>
        <v>2</v>
      </c>
      <c r="G11" s="210">
        <f t="shared" si="4"/>
        <v>6</v>
      </c>
      <c r="H11" s="211" t="str">
        <f t="shared" si="5"/>
        <v>Ship-Standard</v>
      </c>
      <c r="I11" s="211">
        <f t="shared" si="6"/>
        <v>21</v>
      </c>
      <c r="J11" s="211">
        <f t="shared" si="7"/>
        <v>6</v>
      </c>
      <c r="K11" s="211">
        <f t="shared" si="8"/>
        <v>5</v>
      </c>
      <c r="L11" s="211">
        <f t="shared" si="9"/>
        <v>4</v>
      </c>
      <c r="M11" s="211">
        <f t="shared" si="10"/>
        <v>5</v>
      </c>
      <c r="N11" s="211">
        <f t="shared" si="11"/>
        <v>6</v>
      </c>
      <c r="O11" s="211">
        <f t="shared" si="12"/>
        <v>5</v>
      </c>
      <c r="P11" s="212" t="str">
        <f t="shared" si="13"/>
        <v>T'Rasus-Class Cruiser, Unique</v>
      </c>
      <c r="Q11" s="213" t="str">
        <f t="shared" si="14"/>
        <v>Start: -1 to cost of all other T'Rasus-Class ships in Fleet</v>
      </c>
    </row>
    <row r="12" spans="2:17" ht="14" x14ac:dyDescent="0.15">
      <c r="B12" s="214">
        <f t="shared" si="0"/>
        <v>176</v>
      </c>
      <c r="C12" s="171" t="str">
        <f t="shared" si="1"/>
        <v>Romulan</v>
      </c>
      <c r="D12" s="172" t="s">
        <v>194</v>
      </c>
      <c r="E12" s="173" t="str">
        <f t="shared" si="2"/>
        <v>E</v>
      </c>
      <c r="F12" s="173">
        <f t="shared" si="3"/>
        <v>2</v>
      </c>
      <c r="G12" s="173">
        <f t="shared" si="4"/>
        <v>8</v>
      </c>
      <c r="H12" s="174" t="str">
        <f t="shared" si="5"/>
        <v>Ship-Standard</v>
      </c>
      <c r="I12" s="174">
        <f t="shared" si="6"/>
        <v>23</v>
      </c>
      <c r="J12" s="174">
        <f t="shared" si="7"/>
        <v>6</v>
      </c>
      <c r="K12" s="174">
        <f t="shared" si="8"/>
        <v>6</v>
      </c>
      <c r="L12" s="174">
        <f t="shared" si="9"/>
        <v>5</v>
      </c>
      <c r="M12" s="174">
        <f t="shared" si="10"/>
        <v>5</v>
      </c>
      <c r="N12" s="174">
        <f t="shared" si="11"/>
        <v>8</v>
      </c>
      <c r="O12" s="174">
        <f t="shared" si="12"/>
        <v>5</v>
      </c>
      <c r="P12" s="175" t="str">
        <f t="shared" si="13"/>
        <v>Meret-Class Cruiser, Unique</v>
      </c>
      <c r="Q12" s="215" t="str">
        <f t="shared" si="14"/>
        <v>Start: -1 to cost of Beam Weapon Upgrade Tech</v>
      </c>
    </row>
    <row r="13" spans="2:17" ht="14" x14ac:dyDescent="0.15">
      <c r="B13" s="214">
        <f t="shared" si="0"/>
        <v>102</v>
      </c>
      <c r="C13" s="171" t="str">
        <f t="shared" si="1"/>
        <v>Romulan</v>
      </c>
      <c r="D13" s="172" t="s">
        <v>195</v>
      </c>
      <c r="E13" s="173" t="str">
        <f t="shared" si="2"/>
        <v>C</v>
      </c>
      <c r="F13" s="173">
        <f t="shared" si="3"/>
        <v>5</v>
      </c>
      <c r="G13" s="173">
        <f t="shared" si="4"/>
        <v>21</v>
      </c>
      <c r="H13" s="174" t="str">
        <f t="shared" si="5"/>
        <v>Ship-Standard</v>
      </c>
      <c r="I13" s="174">
        <f t="shared" si="6"/>
        <v>21</v>
      </c>
      <c r="J13" s="174">
        <f t="shared" si="7"/>
        <v>6</v>
      </c>
      <c r="K13" s="174">
        <f t="shared" si="8"/>
        <v>5</v>
      </c>
      <c r="L13" s="174">
        <f t="shared" si="9"/>
        <v>4</v>
      </c>
      <c r="M13" s="174">
        <f t="shared" si="10"/>
        <v>5</v>
      </c>
      <c r="N13" s="174">
        <f t="shared" si="11"/>
        <v>6</v>
      </c>
      <c r="O13" s="174">
        <f t="shared" si="12"/>
        <v>5</v>
      </c>
      <c r="P13" s="175" t="str">
        <f t="shared" si="13"/>
        <v>T'Rasus-Class Cruiser, Unique</v>
      </c>
      <c r="Q13" s="215" t="str">
        <f t="shared" si="14"/>
        <v>Start: -1 to cost of all other T'Rasus-Class ships in Fleet</v>
      </c>
    </row>
    <row r="14" spans="2:17" ht="14" x14ac:dyDescent="0.15">
      <c r="B14" s="214">
        <f t="shared" si="0"/>
        <v>122</v>
      </c>
      <c r="C14" s="171" t="str">
        <f t="shared" si="1"/>
        <v>Romulan</v>
      </c>
      <c r="D14" s="172" t="s">
        <v>200</v>
      </c>
      <c r="E14" s="173" t="str">
        <f t="shared" si="2"/>
        <v>U</v>
      </c>
      <c r="F14" s="173">
        <f t="shared" si="3"/>
        <v>4</v>
      </c>
      <c r="G14" s="173">
        <f t="shared" si="4"/>
        <v>13</v>
      </c>
      <c r="H14" s="174" t="str">
        <f t="shared" si="5"/>
        <v>Ship-Standard</v>
      </c>
      <c r="I14" s="174">
        <f t="shared" si="6"/>
        <v>20</v>
      </c>
      <c r="J14" s="174">
        <f t="shared" si="7"/>
        <v>5</v>
      </c>
      <c r="K14" s="174">
        <f t="shared" si="8"/>
        <v>5</v>
      </c>
      <c r="L14" s="174">
        <f t="shared" si="9"/>
        <v>5</v>
      </c>
      <c r="M14" s="174">
        <f t="shared" si="10"/>
        <v>4</v>
      </c>
      <c r="N14" s="174">
        <f t="shared" si="11"/>
        <v>5</v>
      </c>
      <c r="O14" s="174">
        <f t="shared" si="12"/>
        <v>5</v>
      </c>
      <c r="P14" s="175" t="str">
        <f t="shared" si="13"/>
        <v>D'Virin-Class Frigate, Unique</v>
      </c>
      <c r="Q14" s="215" t="str">
        <f t="shared" si="14"/>
        <v>Start: +3 Cap if Vathos has no Upgrade Tech</v>
      </c>
    </row>
    <row r="15" spans="2:17" ht="13" customHeight="1" x14ac:dyDescent="0.15">
      <c r="B15" s="214">
        <f t="shared" si="0"/>
        <v>125</v>
      </c>
      <c r="C15" s="171" t="str">
        <f t="shared" si="1"/>
        <v>Romulan</v>
      </c>
      <c r="D15" s="172" t="s">
        <v>198</v>
      </c>
      <c r="E15" s="173" t="str">
        <f t="shared" si="2"/>
        <v>U</v>
      </c>
      <c r="F15" s="173">
        <f t="shared" si="3"/>
        <v>2</v>
      </c>
      <c r="G15" s="173">
        <f t="shared" si="4"/>
        <v>17</v>
      </c>
      <c r="H15" s="174" t="str">
        <f t="shared" si="5"/>
        <v>Ship-Large</v>
      </c>
      <c r="I15" s="174">
        <f t="shared" si="6"/>
        <v>28</v>
      </c>
      <c r="J15" s="174">
        <f t="shared" si="7"/>
        <v>7</v>
      </c>
      <c r="K15" s="174">
        <f t="shared" si="8"/>
        <v>7</v>
      </c>
      <c r="L15" s="174">
        <f t="shared" si="9"/>
        <v>7</v>
      </c>
      <c r="M15" s="174">
        <f t="shared" si="10"/>
        <v>6</v>
      </c>
      <c r="N15" s="174">
        <f t="shared" si="11"/>
        <v>10</v>
      </c>
      <c r="O15" s="174">
        <f t="shared" si="12"/>
        <v>4</v>
      </c>
      <c r="P15" s="175" t="str">
        <f t="shared" si="13"/>
        <v>D'Deridex-Class Warbird, Flagship, Unique</v>
      </c>
      <c r="Q15" s="215" t="str">
        <f t="shared" si="14"/>
        <v>+3 Command</v>
      </c>
    </row>
    <row r="16" spans="2:17" ht="14" x14ac:dyDescent="0.15">
      <c r="B16" s="214">
        <f t="shared" si="0"/>
        <v>142</v>
      </c>
      <c r="C16" s="171" t="str">
        <f t="shared" si="1"/>
        <v>Romulan</v>
      </c>
      <c r="D16" s="172" t="s">
        <v>197</v>
      </c>
      <c r="E16" s="173" t="str">
        <f t="shared" si="2"/>
        <v>R</v>
      </c>
      <c r="F16" s="173">
        <f t="shared" si="3"/>
        <v>3</v>
      </c>
      <c r="G16" s="173">
        <f t="shared" si="4"/>
        <v>10</v>
      </c>
      <c r="H16" s="174" t="str">
        <f t="shared" si="5"/>
        <v>Ship-Standard</v>
      </c>
      <c r="I16" s="174">
        <f t="shared" si="6"/>
        <v>20</v>
      </c>
      <c r="J16" s="174">
        <f t="shared" si="7"/>
        <v>5</v>
      </c>
      <c r="K16" s="174">
        <f t="shared" si="8"/>
        <v>5</v>
      </c>
      <c r="L16" s="174">
        <f t="shared" si="9"/>
        <v>5</v>
      </c>
      <c r="M16" s="174">
        <f t="shared" si="10"/>
        <v>4</v>
      </c>
      <c r="N16" s="174">
        <f t="shared" si="11"/>
        <v>5</v>
      </c>
      <c r="O16" s="174">
        <f t="shared" si="12"/>
        <v>5</v>
      </c>
      <c r="P16" s="175" t="str">
        <f t="shared" si="13"/>
        <v>D'Virin-Class Frigate, Unique</v>
      </c>
      <c r="Q16" s="215" t="str">
        <f t="shared" si="14"/>
        <v>Engineering Crits do not affect torpedo Upgrade Tech</v>
      </c>
    </row>
    <row r="17" spans="2:17" ht="14" x14ac:dyDescent="0.15">
      <c r="B17" s="216">
        <f t="shared" si="0"/>
        <v>143</v>
      </c>
      <c r="C17" s="217" t="str">
        <f t="shared" si="1"/>
        <v>Romulan</v>
      </c>
      <c r="D17" s="218" t="s">
        <v>201</v>
      </c>
      <c r="E17" s="219" t="str">
        <f t="shared" si="2"/>
        <v>R</v>
      </c>
      <c r="F17" s="219">
        <f t="shared" si="3"/>
        <v>2</v>
      </c>
      <c r="G17" s="219">
        <f t="shared" si="4"/>
        <v>9</v>
      </c>
      <c r="H17" s="220" t="str">
        <f t="shared" si="5"/>
        <v>Ship-Standard</v>
      </c>
      <c r="I17" s="220">
        <f t="shared" si="6"/>
        <v>21</v>
      </c>
      <c r="J17" s="220">
        <f t="shared" si="7"/>
        <v>6</v>
      </c>
      <c r="K17" s="220">
        <f t="shared" si="8"/>
        <v>5</v>
      </c>
      <c r="L17" s="220">
        <f t="shared" si="9"/>
        <v>4</v>
      </c>
      <c r="M17" s="220">
        <f t="shared" si="10"/>
        <v>5</v>
      </c>
      <c r="N17" s="220">
        <f t="shared" si="11"/>
        <v>6</v>
      </c>
      <c r="O17" s="220">
        <f t="shared" si="12"/>
        <v>5</v>
      </c>
      <c r="P17" s="221" t="str">
        <f t="shared" si="13"/>
        <v>T'Rasus-Class Cruiser, Unique</v>
      </c>
      <c r="Q17" s="222" t="str">
        <f t="shared" si="14"/>
        <v>Start: -1 to cost of all other T'Rasus-Class ships in Fleet</v>
      </c>
    </row>
    <row r="18" spans="2:17" ht="14" x14ac:dyDescent="0.15">
      <c r="B18" s="16" t="str">
        <f t="shared" si="0"/>
        <v/>
      </c>
      <c r="C18" s="13" t="str">
        <f t="shared" si="1"/>
        <v/>
      </c>
      <c r="D18"/>
      <c r="E18" s="16" t="str">
        <f t="shared" si="2"/>
        <v/>
      </c>
      <c r="F18" s="16" t="str">
        <f t="shared" si="3"/>
        <v/>
      </c>
      <c r="G18" s="16" t="str">
        <f t="shared" si="4"/>
        <v/>
      </c>
      <c r="H18" s="38" t="str">
        <f t="shared" si="5"/>
        <v/>
      </c>
      <c r="I18" s="38" t="str">
        <f t="shared" si="6"/>
        <v/>
      </c>
      <c r="J18" s="38" t="str">
        <f t="shared" si="7"/>
        <v/>
      </c>
      <c r="K18" s="38" t="str">
        <f t="shared" si="8"/>
        <v/>
      </c>
      <c r="L18" s="38" t="str">
        <f t="shared" si="9"/>
        <v/>
      </c>
      <c r="M18" s="38" t="str">
        <f t="shared" si="10"/>
        <v/>
      </c>
      <c r="N18" s="38" t="str">
        <f t="shared" si="11"/>
        <v/>
      </c>
      <c r="O18" s="38" t="str">
        <f t="shared" si="12"/>
        <v/>
      </c>
      <c r="P18" s="39" t="str">
        <f t="shared" si="13"/>
        <v/>
      </c>
      <c r="Q18" s="39" t="str">
        <f t="shared" si="14"/>
        <v/>
      </c>
    </row>
    <row r="19" spans="2:17" ht="14" x14ac:dyDescent="0.15">
      <c r="B19" s="223">
        <f t="shared" si="0"/>
        <v>181</v>
      </c>
      <c r="C19" s="224" t="str">
        <f t="shared" si="1"/>
        <v>Klingon</v>
      </c>
      <c r="D19" s="225" t="s">
        <v>72</v>
      </c>
      <c r="E19" s="226" t="str">
        <f t="shared" si="2"/>
        <v>E</v>
      </c>
      <c r="F19" s="226">
        <f t="shared" si="3"/>
        <v>1</v>
      </c>
      <c r="G19" s="226">
        <f t="shared" si="4"/>
        <v>9</v>
      </c>
      <c r="H19" s="227" t="str">
        <f t="shared" si="5"/>
        <v>Ship-Standard</v>
      </c>
      <c r="I19" s="227">
        <f t="shared" si="6"/>
        <v>19</v>
      </c>
      <c r="J19" s="227">
        <f t="shared" si="7"/>
        <v>6</v>
      </c>
      <c r="K19" s="227">
        <f t="shared" si="8"/>
        <v>6</v>
      </c>
      <c r="L19" s="227">
        <f t="shared" si="9"/>
        <v>5</v>
      </c>
      <c r="M19" s="227">
        <f t="shared" si="10"/>
        <v>5</v>
      </c>
      <c r="N19" s="227">
        <f t="shared" si="11"/>
        <v>7</v>
      </c>
      <c r="O19" s="227">
        <f t="shared" si="12"/>
        <v>5</v>
      </c>
      <c r="P19" s="228" t="str">
        <f t="shared" si="13"/>
        <v>Vor'Cha-Class Cruiser, Unique</v>
      </c>
      <c r="Q19" s="229" t="str">
        <f t="shared" si="14"/>
        <v>Engineering Crits do not affect Beam Weapon Upgrade Tech</v>
      </c>
    </row>
    <row r="20" spans="2:17" ht="14" x14ac:dyDescent="0.15">
      <c r="B20" s="230">
        <f t="shared" si="0"/>
        <v>186</v>
      </c>
      <c r="C20" s="186" t="str">
        <f t="shared" si="1"/>
        <v>Klingon</v>
      </c>
      <c r="D20" s="187" t="s">
        <v>132</v>
      </c>
      <c r="E20" s="188" t="str">
        <f t="shared" si="2"/>
        <v>E</v>
      </c>
      <c r="F20" s="188">
        <f t="shared" si="3"/>
        <v>1</v>
      </c>
      <c r="G20" s="188">
        <f t="shared" si="4"/>
        <v>7</v>
      </c>
      <c r="H20" s="189" t="str">
        <f t="shared" si="5"/>
        <v>Ship-Standard</v>
      </c>
      <c r="I20" s="189">
        <f t="shared" si="6"/>
        <v>17</v>
      </c>
      <c r="J20" s="189">
        <f t="shared" si="7"/>
        <v>5</v>
      </c>
      <c r="K20" s="189">
        <f t="shared" si="8"/>
        <v>5</v>
      </c>
      <c r="L20" s="189">
        <f t="shared" si="9"/>
        <v>5</v>
      </c>
      <c r="M20" s="189">
        <f t="shared" si="10"/>
        <v>4</v>
      </c>
      <c r="N20" s="189">
        <f t="shared" si="11"/>
        <v>5</v>
      </c>
      <c r="O20" s="189">
        <f t="shared" si="12"/>
        <v>5</v>
      </c>
      <c r="P20" s="190" t="str">
        <f t="shared" si="13"/>
        <v>Pa'Chag-Class Cruiser, Unique</v>
      </c>
      <c r="Q20" s="231" t="str">
        <f t="shared" si="14"/>
        <v>Start: -1 to cost of transporter Upgrade Tech</v>
      </c>
    </row>
    <row r="21" spans="2:17" ht="14" x14ac:dyDescent="0.15">
      <c r="B21" s="230">
        <f t="shared" si="0"/>
        <v>103</v>
      </c>
      <c r="C21" s="186" t="str">
        <f t="shared" si="1"/>
        <v>Klingon</v>
      </c>
      <c r="D21" s="187" t="s">
        <v>100</v>
      </c>
      <c r="E21" s="188" t="str">
        <f t="shared" si="2"/>
        <v>C</v>
      </c>
      <c r="F21" s="188">
        <f t="shared" si="3"/>
        <v>3</v>
      </c>
      <c r="G21" s="188">
        <f t="shared" si="4"/>
        <v>16</v>
      </c>
      <c r="H21" s="189" t="str">
        <f t="shared" si="5"/>
        <v>Ship-Standard</v>
      </c>
      <c r="I21" s="189">
        <f t="shared" si="6"/>
        <v>19</v>
      </c>
      <c r="J21" s="189">
        <f t="shared" si="7"/>
        <v>6</v>
      </c>
      <c r="K21" s="189">
        <f t="shared" si="8"/>
        <v>6</v>
      </c>
      <c r="L21" s="189">
        <f t="shared" si="9"/>
        <v>5</v>
      </c>
      <c r="M21" s="189">
        <f t="shared" si="10"/>
        <v>5</v>
      </c>
      <c r="N21" s="189">
        <f t="shared" si="11"/>
        <v>7</v>
      </c>
      <c r="O21" s="189">
        <f t="shared" si="12"/>
        <v>5</v>
      </c>
      <c r="P21" s="190" t="str">
        <f t="shared" si="13"/>
        <v>Vor'Cha-Class Cruiser, Unique</v>
      </c>
      <c r="Q21" s="231" t="str">
        <f t="shared" si="14"/>
        <v>Disable torpedoes instead of Beam Weapons when suffering a Weapons Crit</v>
      </c>
    </row>
    <row r="22" spans="2:17" ht="14" x14ac:dyDescent="0.15">
      <c r="B22" s="230">
        <f t="shared" si="0"/>
        <v>105</v>
      </c>
      <c r="C22" s="186" t="str">
        <f t="shared" si="1"/>
        <v>Klingon</v>
      </c>
      <c r="D22" s="187" t="s">
        <v>66</v>
      </c>
      <c r="E22" s="188" t="str">
        <f t="shared" si="2"/>
        <v>C</v>
      </c>
      <c r="F22" s="188">
        <f t="shared" si="3"/>
        <v>3</v>
      </c>
      <c r="G22" s="188">
        <f t="shared" si="4"/>
        <v>16</v>
      </c>
      <c r="H22" s="189" t="str">
        <f t="shared" si="5"/>
        <v>Ship-Standard</v>
      </c>
      <c r="I22" s="189">
        <f t="shared" si="6"/>
        <v>17</v>
      </c>
      <c r="J22" s="189">
        <f t="shared" si="7"/>
        <v>4</v>
      </c>
      <c r="K22" s="189">
        <f t="shared" si="8"/>
        <v>4</v>
      </c>
      <c r="L22" s="189">
        <f t="shared" si="9"/>
        <v>6</v>
      </c>
      <c r="M22" s="189">
        <f t="shared" si="10"/>
        <v>4</v>
      </c>
      <c r="N22" s="189">
        <f t="shared" si="11"/>
        <v>4</v>
      </c>
      <c r="O22" s="189">
        <f t="shared" si="12"/>
        <v>5</v>
      </c>
      <c r="P22" s="190" t="str">
        <f t="shared" si="13"/>
        <v>Tro'Qa-Class Destroyer, Unique</v>
      </c>
      <c r="Q22" s="231" t="str">
        <f t="shared" si="14"/>
        <v>Start: -1 to cost of Weapon Upgrade Tech</v>
      </c>
    </row>
    <row r="23" spans="2:17" ht="14" x14ac:dyDescent="0.15">
      <c r="B23" s="230">
        <f t="shared" si="0"/>
        <v>107</v>
      </c>
      <c r="C23" s="186" t="str">
        <f t="shared" si="1"/>
        <v>Klingon</v>
      </c>
      <c r="D23" s="187" t="s">
        <v>69</v>
      </c>
      <c r="E23" s="188" t="str">
        <f t="shared" si="2"/>
        <v>C</v>
      </c>
      <c r="F23" s="188">
        <f t="shared" si="3"/>
        <v>1</v>
      </c>
      <c r="G23" s="188">
        <f t="shared" si="4"/>
        <v>16</v>
      </c>
      <c r="H23" s="189" t="str">
        <f t="shared" si="5"/>
        <v>Ship-Standard</v>
      </c>
      <c r="I23" s="189">
        <f t="shared" si="6"/>
        <v>14</v>
      </c>
      <c r="J23" s="189">
        <f t="shared" si="7"/>
        <v>5</v>
      </c>
      <c r="K23" s="189">
        <f t="shared" si="8"/>
        <v>5</v>
      </c>
      <c r="L23" s="189">
        <f t="shared" si="9"/>
        <v>3</v>
      </c>
      <c r="M23" s="189">
        <f t="shared" si="10"/>
        <v>4</v>
      </c>
      <c r="N23" s="189">
        <f t="shared" si="11"/>
        <v>4</v>
      </c>
      <c r="O23" s="189">
        <f t="shared" si="12"/>
        <v>5</v>
      </c>
      <c r="P23" s="190" t="str">
        <f t="shared" si="13"/>
        <v>Kel'Var-Class Frigate, Unique</v>
      </c>
      <c r="Q23" s="231" t="str">
        <f t="shared" si="14"/>
        <v>Start: -1 to cost of Away Team and Security Crew</v>
      </c>
    </row>
    <row r="24" spans="2:17" ht="14" x14ac:dyDescent="0.15">
      <c r="B24" s="230">
        <f t="shared" si="0"/>
        <v>123</v>
      </c>
      <c r="C24" s="186" t="str">
        <f t="shared" si="1"/>
        <v>Klingon</v>
      </c>
      <c r="D24" s="187" t="s">
        <v>71</v>
      </c>
      <c r="E24" s="188" t="str">
        <f t="shared" si="2"/>
        <v>U</v>
      </c>
      <c r="F24" s="188">
        <f t="shared" si="3"/>
        <v>3</v>
      </c>
      <c r="G24" s="188">
        <f t="shared" si="4"/>
        <v>10</v>
      </c>
      <c r="H24" s="189" t="str">
        <f t="shared" si="5"/>
        <v>Ship-Standard</v>
      </c>
      <c r="I24" s="189">
        <f t="shared" si="6"/>
        <v>20</v>
      </c>
      <c r="J24" s="189">
        <f t="shared" si="7"/>
        <v>6</v>
      </c>
      <c r="K24" s="189">
        <f t="shared" si="8"/>
        <v>6</v>
      </c>
      <c r="L24" s="189">
        <f t="shared" si="9"/>
        <v>5</v>
      </c>
      <c r="M24" s="189">
        <f t="shared" si="10"/>
        <v>5</v>
      </c>
      <c r="N24" s="189">
        <f t="shared" si="11"/>
        <v>8</v>
      </c>
      <c r="O24" s="189">
        <f t="shared" si="12"/>
        <v>5</v>
      </c>
      <c r="P24" s="190" t="str">
        <f t="shared" si="13"/>
        <v>K'Mpec-Class Hvy Warship, Unique</v>
      </c>
      <c r="Q24" s="231" t="str">
        <f t="shared" si="14"/>
        <v>Start: -1 to cost of shield Upgrade Tech</v>
      </c>
    </row>
    <row r="25" spans="2:17" ht="28" x14ac:dyDescent="0.15">
      <c r="B25" s="230">
        <f t="shared" si="0"/>
        <v>128</v>
      </c>
      <c r="C25" s="186" t="str">
        <f t="shared" si="1"/>
        <v>Klingon</v>
      </c>
      <c r="D25" s="187" t="s">
        <v>110</v>
      </c>
      <c r="E25" s="188" t="str">
        <f t="shared" si="2"/>
        <v>U</v>
      </c>
      <c r="F25" s="188">
        <f t="shared" si="3"/>
        <v>1</v>
      </c>
      <c r="G25" s="188">
        <f t="shared" si="4"/>
        <v>10</v>
      </c>
      <c r="H25" s="189" t="str">
        <f t="shared" si="5"/>
        <v>Ship-Small</v>
      </c>
      <c r="I25" s="189">
        <f t="shared" si="6"/>
        <v>12</v>
      </c>
      <c r="J25" s="189">
        <f t="shared" si="7"/>
        <v>5</v>
      </c>
      <c r="K25" s="189">
        <f t="shared" si="8"/>
        <v>3</v>
      </c>
      <c r="L25" s="189">
        <f t="shared" si="9"/>
        <v>3</v>
      </c>
      <c r="M25" s="189">
        <f t="shared" si="10"/>
        <v>3</v>
      </c>
      <c r="N25" s="189">
        <f t="shared" si="11"/>
        <v>3</v>
      </c>
      <c r="O25" s="189">
        <f t="shared" si="12"/>
        <v>6</v>
      </c>
      <c r="P25" s="190" t="str">
        <f t="shared" si="13"/>
        <v>B'Rel-Class Scout, Unique</v>
      </c>
      <c r="Q25" s="231" t="str">
        <f t="shared" si="14"/>
        <v>Start: Add 5 points of Beam Weapon Upgrade Tech if M'Char has no security or Away Team Crew</v>
      </c>
    </row>
    <row r="26" spans="2:17" ht="13" customHeight="1" x14ac:dyDescent="0.15">
      <c r="B26" s="232">
        <f t="shared" si="0"/>
        <v>146</v>
      </c>
      <c r="C26" s="233" t="str">
        <f t="shared" si="1"/>
        <v>Klingon</v>
      </c>
      <c r="D26" s="234" t="s">
        <v>400</v>
      </c>
      <c r="E26" s="235" t="str">
        <f t="shared" si="2"/>
        <v>R</v>
      </c>
      <c r="F26" s="235">
        <f t="shared" si="3"/>
        <v>1</v>
      </c>
      <c r="G26" s="235">
        <f t="shared" si="4"/>
        <v>7</v>
      </c>
      <c r="H26" s="236" t="str">
        <f t="shared" si="5"/>
        <v>Ship-Large</v>
      </c>
      <c r="I26" s="236">
        <f t="shared" si="6"/>
        <v>23</v>
      </c>
      <c r="J26" s="236">
        <f t="shared" si="7"/>
        <v>7</v>
      </c>
      <c r="K26" s="236">
        <f t="shared" si="8"/>
        <v>6</v>
      </c>
      <c r="L26" s="236">
        <f t="shared" si="9"/>
        <v>7</v>
      </c>
      <c r="M26" s="236">
        <f t="shared" si="10"/>
        <v>6</v>
      </c>
      <c r="N26" s="236">
        <f t="shared" si="11"/>
        <v>9</v>
      </c>
      <c r="O26" s="236">
        <f t="shared" si="12"/>
        <v>4</v>
      </c>
      <c r="P26" s="237" t="str">
        <f t="shared" si="13"/>
        <v>Neg/Var-Class Battleship, Flagship, Unique</v>
      </c>
      <c r="Q26" s="238" t="str">
        <f t="shared" si="14"/>
        <v>+3 Command</v>
      </c>
    </row>
    <row r="27" spans="2:17" ht="14" x14ac:dyDescent="0.15">
      <c r="B27" s="16" t="str">
        <f t="shared" si="0"/>
        <v/>
      </c>
      <c r="C27" s="13" t="str">
        <f t="shared" si="1"/>
        <v/>
      </c>
      <c r="D27"/>
      <c r="E27" s="16" t="str">
        <f t="shared" si="2"/>
        <v/>
      </c>
      <c r="F27" s="16" t="str">
        <f t="shared" si="3"/>
        <v/>
      </c>
      <c r="G27" s="16" t="str">
        <f t="shared" si="4"/>
        <v/>
      </c>
      <c r="H27" s="38" t="str">
        <f t="shared" si="5"/>
        <v/>
      </c>
      <c r="I27" s="38" t="str">
        <f t="shared" si="6"/>
        <v/>
      </c>
      <c r="J27" s="38" t="str">
        <f t="shared" si="7"/>
        <v/>
      </c>
      <c r="K27" s="38" t="str">
        <f t="shared" si="8"/>
        <v/>
      </c>
      <c r="L27" s="38" t="str">
        <f t="shared" si="9"/>
        <v/>
      </c>
      <c r="M27" s="38" t="str">
        <f t="shared" si="10"/>
        <v/>
      </c>
      <c r="N27" s="38" t="str">
        <f t="shared" si="11"/>
        <v/>
      </c>
      <c r="O27" s="38" t="str">
        <f t="shared" si="12"/>
        <v/>
      </c>
      <c r="P27" s="39" t="str">
        <f t="shared" si="13"/>
        <v/>
      </c>
      <c r="Q27" s="39" t="str">
        <f t="shared" si="14"/>
        <v/>
      </c>
    </row>
    <row r="28" spans="2:17" ht="14" x14ac:dyDescent="0.15">
      <c r="B28" s="239">
        <f t="shared" si="0"/>
        <v>191</v>
      </c>
      <c r="C28" s="240" t="str">
        <f t="shared" si="1"/>
        <v>Cardassian</v>
      </c>
      <c r="D28" s="241" t="s">
        <v>9</v>
      </c>
      <c r="E28" s="242" t="str">
        <f t="shared" si="2"/>
        <v>E</v>
      </c>
      <c r="F28" s="242">
        <f t="shared" si="3"/>
        <v>1</v>
      </c>
      <c r="G28" s="242">
        <f t="shared" si="4"/>
        <v>5</v>
      </c>
      <c r="H28" s="243" t="str">
        <f t="shared" si="5"/>
        <v>Ship-Standard</v>
      </c>
      <c r="I28" s="243">
        <f t="shared" si="6"/>
        <v>19</v>
      </c>
      <c r="J28" s="243">
        <f t="shared" si="7"/>
        <v>6</v>
      </c>
      <c r="K28" s="243">
        <f t="shared" si="8"/>
        <v>6</v>
      </c>
      <c r="L28" s="243">
        <f t="shared" si="9"/>
        <v>5</v>
      </c>
      <c r="M28" s="243">
        <f t="shared" si="10"/>
        <v>5</v>
      </c>
      <c r="N28" s="243">
        <f t="shared" si="11"/>
        <v>7</v>
      </c>
      <c r="O28" s="243">
        <f t="shared" si="12"/>
        <v>5</v>
      </c>
      <c r="P28" s="244" t="str">
        <f t="shared" si="13"/>
        <v>Keldon-Class Warship, Unique</v>
      </c>
      <c r="Q28" s="245" t="str">
        <f t="shared" si="14"/>
        <v>Start: -1 to cost of Torpedo Upgrade Tech</v>
      </c>
    </row>
    <row r="29" spans="2:17" ht="14" x14ac:dyDescent="0.15">
      <c r="B29" s="246">
        <f t="shared" si="0"/>
        <v>104</v>
      </c>
      <c r="C29" s="176" t="str">
        <f t="shared" si="1"/>
        <v>Cardassian</v>
      </c>
      <c r="D29" s="177" t="s">
        <v>145</v>
      </c>
      <c r="E29" s="178" t="str">
        <f t="shared" si="2"/>
        <v>C</v>
      </c>
      <c r="F29" s="178">
        <f t="shared" si="3"/>
        <v>2</v>
      </c>
      <c r="G29" s="178">
        <f t="shared" si="4"/>
        <v>9</v>
      </c>
      <c r="H29" s="179" t="str">
        <f t="shared" si="5"/>
        <v>Ship-Standard</v>
      </c>
      <c r="I29" s="179">
        <f t="shared" si="6"/>
        <v>14</v>
      </c>
      <c r="J29" s="179">
        <f t="shared" si="7"/>
        <v>5</v>
      </c>
      <c r="K29" s="179">
        <f t="shared" si="8"/>
        <v>4</v>
      </c>
      <c r="L29" s="179">
        <f t="shared" si="9"/>
        <v>4</v>
      </c>
      <c r="M29" s="179">
        <f t="shared" si="10"/>
        <v>4</v>
      </c>
      <c r="N29" s="179">
        <f t="shared" si="11"/>
        <v>4</v>
      </c>
      <c r="O29" s="179">
        <f t="shared" si="12"/>
        <v>5</v>
      </c>
      <c r="P29" s="180" t="str">
        <f t="shared" si="13"/>
        <v>Guran-Class Attack Ship, Unique</v>
      </c>
      <c r="Q29" s="247" t="str">
        <f t="shared" si="14"/>
        <v>Weapons Crits only cause -2 Beam Weapon</v>
      </c>
    </row>
    <row r="30" spans="2:17" ht="14" x14ac:dyDescent="0.15">
      <c r="B30" s="246">
        <f t="shared" si="0"/>
        <v>124</v>
      </c>
      <c r="C30" s="176" t="str">
        <f t="shared" si="1"/>
        <v>Cardassian</v>
      </c>
      <c r="D30" s="177" t="s">
        <v>2</v>
      </c>
      <c r="E30" s="178" t="str">
        <f t="shared" si="2"/>
        <v>U</v>
      </c>
      <c r="F30" s="178">
        <f t="shared" si="3"/>
        <v>2</v>
      </c>
      <c r="G30" s="178">
        <f t="shared" si="4"/>
        <v>5</v>
      </c>
      <c r="H30" s="179" t="str">
        <f t="shared" si="5"/>
        <v>Ship-Standard</v>
      </c>
      <c r="I30" s="179">
        <f t="shared" si="6"/>
        <v>15</v>
      </c>
      <c r="J30" s="179">
        <f t="shared" si="7"/>
        <v>5</v>
      </c>
      <c r="K30" s="179">
        <f t="shared" si="8"/>
        <v>4</v>
      </c>
      <c r="L30" s="179">
        <f t="shared" si="9"/>
        <v>5</v>
      </c>
      <c r="M30" s="179">
        <f t="shared" si="10"/>
        <v>4</v>
      </c>
      <c r="N30" s="179">
        <f t="shared" si="11"/>
        <v>4</v>
      </c>
      <c r="O30" s="179">
        <f t="shared" si="12"/>
        <v>5</v>
      </c>
      <c r="P30" s="180" t="str">
        <f t="shared" si="13"/>
        <v>Aberax-Class Destroyer, Unique</v>
      </c>
      <c r="Q30" s="247" t="str">
        <f t="shared" si="14"/>
        <v>Start: -1 to cost of Torpedo Upgrade Tech</v>
      </c>
    </row>
    <row r="31" spans="2:17" ht="14" x14ac:dyDescent="0.15">
      <c r="B31" s="246">
        <f t="shared" si="0"/>
        <v>126</v>
      </c>
      <c r="C31" s="176" t="str">
        <f t="shared" si="1"/>
        <v>Cardassian</v>
      </c>
      <c r="D31" s="177" t="s">
        <v>112</v>
      </c>
      <c r="E31" s="178" t="str">
        <f t="shared" si="2"/>
        <v>U</v>
      </c>
      <c r="F31" s="178">
        <f t="shared" si="3"/>
        <v>1</v>
      </c>
      <c r="G31" s="178">
        <f t="shared" si="4"/>
        <v>6</v>
      </c>
      <c r="H31" s="179" t="str">
        <f t="shared" si="5"/>
        <v>Ship-Large</v>
      </c>
      <c r="I31" s="179">
        <f t="shared" si="6"/>
        <v>23</v>
      </c>
      <c r="J31" s="179">
        <f t="shared" si="7"/>
        <v>7</v>
      </c>
      <c r="K31" s="179">
        <f t="shared" si="8"/>
        <v>6</v>
      </c>
      <c r="L31" s="179">
        <f t="shared" si="9"/>
        <v>7</v>
      </c>
      <c r="M31" s="179">
        <f t="shared" si="10"/>
        <v>6</v>
      </c>
      <c r="N31" s="179">
        <f t="shared" si="11"/>
        <v>9</v>
      </c>
      <c r="O31" s="179">
        <f t="shared" si="12"/>
        <v>4</v>
      </c>
      <c r="P31" s="180" t="str">
        <f t="shared" si="13"/>
        <v>Kagor-Class Battleship, Flagship, Unique</v>
      </c>
      <c r="Q31" s="247" t="str">
        <f t="shared" si="14"/>
        <v>+3 Command</v>
      </c>
    </row>
    <row r="32" spans="2:17" ht="14" x14ac:dyDescent="0.15">
      <c r="B32" s="248">
        <f t="shared" si="0"/>
        <v>127</v>
      </c>
      <c r="C32" s="249" t="str">
        <f t="shared" si="1"/>
        <v>Cardassian</v>
      </c>
      <c r="D32" s="250" t="s">
        <v>146</v>
      </c>
      <c r="E32" s="251" t="str">
        <f t="shared" si="2"/>
        <v>U</v>
      </c>
      <c r="F32" s="251">
        <f t="shared" si="3"/>
        <v>1</v>
      </c>
      <c r="G32" s="251">
        <f t="shared" si="4"/>
        <v>5</v>
      </c>
      <c r="H32" s="252" t="str">
        <f t="shared" si="5"/>
        <v>Ship-Small</v>
      </c>
      <c r="I32" s="252">
        <f t="shared" si="6"/>
        <v>11</v>
      </c>
      <c r="J32" s="252">
        <f t="shared" si="7"/>
        <v>4</v>
      </c>
      <c r="K32" s="252">
        <f t="shared" si="8"/>
        <v>3</v>
      </c>
      <c r="L32" s="252">
        <f t="shared" si="9"/>
        <v>3</v>
      </c>
      <c r="M32" s="252">
        <f t="shared" si="10"/>
        <v>3</v>
      </c>
      <c r="N32" s="252">
        <f t="shared" si="11"/>
        <v>3</v>
      </c>
      <c r="O32" s="252">
        <f t="shared" si="12"/>
        <v>6</v>
      </c>
      <c r="P32" s="253" t="str">
        <f t="shared" si="13"/>
        <v>Mithras-class Escort, Unique</v>
      </c>
      <c r="Q32" s="254" t="str">
        <f t="shared" si="14"/>
        <v>May Execute a Change Heading Order immediately after taking damage</v>
      </c>
    </row>
    <row r="33" spans="2:17" ht="14" x14ac:dyDescent="0.15">
      <c r="B33" s="16" t="str">
        <f t="shared" si="0"/>
        <v/>
      </c>
      <c r="C33" s="13" t="str">
        <f t="shared" si="1"/>
        <v/>
      </c>
      <c r="D33"/>
      <c r="E33" s="16" t="str">
        <f t="shared" si="2"/>
        <v/>
      </c>
      <c r="F33" s="16" t="str">
        <f t="shared" si="3"/>
        <v/>
      </c>
      <c r="G33" s="16" t="str">
        <f t="shared" si="4"/>
        <v/>
      </c>
      <c r="H33" s="38" t="str">
        <f t="shared" si="5"/>
        <v/>
      </c>
      <c r="I33" s="38" t="str">
        <f t="shared" si="6"/>
        <v/>
      </c>
      <c r="J33" s="38" t="str">
        <f t="shared" si="7"/>
        <v/>
      </c>
      <c r="K33" s="38" t="str">
        <f t="shared" si="8"/>
        <v/>
      </c>
      <c r="L33" s="38" t="str">
        <f t="shared" si="9"/>
        <v/>
      </c>
      <c r="M33" s="38" t="str">
        <f t="shared" si="10"/>
        <v/>
      </c>
      <c r="N33" s="38" t="str">
        <f t="shared" si="11"/>
        <v/>
      </c>
      <c r="O33" s="38" t="str">
        <f t="shared" si="12"/>
        <v/>
      </c>
      <c r="P33" s="39" t="str">
        <f t="shared" si="13"/>
        <v/>
      </c>
      <c r="Q33" s="39" t="str">
        <f t="shared" si="14"/>
        <v/>
      </c>
    </row>
    <row r="34" spans="2:17" ht="14" x14ac:dyDescent="0.15">
      <c r="B34" s="255">
        <f t="shared" si="0"/>
        <v>196</v>
      </c>
      <c r="C34" s="256" t="str">
        <f t="shared" si="1"/>
        <v>Ferengi</v>
      </c>
      <c r="D34" s="257" t="s">
        <v>117</v>
      </c>
      <c r="E34" s="258" t="str">
        <f t="shared" si="2"/>
        <v>E</v>
      </c>
      <c r="F34" s="258">
        <f t="shared" si="3"/>
        <v>3</v>
      </c>
      <c r="G34" s="258">
        <f t="shared" si="4"/>
        <v>7</v>
      </c>
      <c r="H34" s="259" t="str">
        <f t="shared" si="5"/>
        <v>Ship-Standard</v>
      </c>
      <c r="I34" s="259">
        <f t="shared" si="6"/>
        <v>16</v>
      </c>
      <c r="J34" s="259">
        <f t="shared" si="7"/>
        <v>5</v>
      </c>
      <c r="K34" s="259">
        <f t="shared" si="8"/>
        <v>5</v>
      </c>
      <c r="L34" s="259">
        <f t="shared" si="9"/>
        <v>3</v>
      </c>
      <c r="M34" s="259">
        <f t="shared" si="10"/>
        <v>4</v>
      </c>
      <c r="N34" s="259">
        <f t="shared" si="11"/>
        <v>7</v>
      </c>
      <c r="O34" s="259">
        <f t="shared" si="12"/>
        <v>5</v>
      </c>
      <c r="P34" s="260" t="str">
        <f t="shared" si="13"/>
        <v>D'Kora-Class Cruiser, Unique</v>
      </c>
      <c r="Q34" s="261" t="str">
        <f t="shared" si="14"/>
        <v>Engineering Crits do not affect structural Upgrade Tech</v>
      </c>
    </row>
    <row r="35" spans="2:17" ht="14" x14ac:dyDescent="0.15">
      <c r="B35" s="262">
        <f t="shared" si="0"/>
        <v>108</v>
      </c>
      <c r="C35" s="181" t="str">
        <f t="shared" si="1"/>
        <v>Ferengi</v>
      </c>
      <c r="D35" s="182" t="s">
        <v>32</v>
      </c>
      <c r="E35" s="183" t="str">
        <f t="shared" si="2"/>
        <v>C</v>
      </c>
      <c r="F35" s="183">
        <f t="shared" si="3"/>
        <v>9</v>
      </c>
      <c r="G35" s="183">
        <f t="shared" si="4"/>
        <v>32</v>
      </c>
      <c r="H35" s="184" t="str">
        <f t="shared" si="5"/>
        <v>Ship-Standard</v>
      </c>
      <c r="I35" s="184">
        <f t="shared" si="6"/>
        <v>16</v>
      </c>
      <c r="J35" s="184">
        <f t="shared" si="7"/>
        <v>5</v>
      </c>
      <c r="K35" s="184">
        <f t="shared" si="8"/>
        <v>5</v>
      </c>
      <c r="L35" s="184">
        <f t="shared" si="9"/>
        <v>4</v>
      </c>
      <c r="M35" s="184">
        <f t="shared" si="10"/>
        <v>4</v>
      </c>
      <c r="N35" s="184">
        <f t="shared" si="11"/>
        <v>5</v>
      </c>
      <c r="O35" s="184">
        <f t="shared" si="12"/>
        <v>5</v>
      </c>
      <c r="P35" s="185" t="str">
        <f t="shared" si="13"/>
        <v>Kingal-Class Cruiser, Unique</v>
      </c>
      <c r="Q35" s="263" t="str">
        <f t="shared" si="14"/>
        <v>Set shields to 2 immediately after suffering a shields Crit</v>
      </c>
    </row>
    <row r="36" spans="2:17" ht="14" x14ac:dyDescent="0.15">
      <c r="B36" s="262">
        <f t="shared" si="0"/>
        <v>144</v>
      </c>
      <c r="C36" s="181" t="str">
        <f t="shared" si="1"/>
        <v>Ferengi</v>
      </c>
      <c r="D36" s="182" t="s">
        <v>36</v>
      </c>
      <c r="E36" s="183" t="str">
        <f t="shared" si="2"/>
        <v>R</v>
      </c>
      <c r="F36" s="183">
        <f t="shared" si="3"/>
        <v>4</v>
      </c>
      <c r="G36" s="183">
        <f t="shared" si="4"/>
        <v>12</v>
      </c>
      <c r="H36" s="184" t="str">
        <f t="shared" si="5"/>
        <v>Ship-Standard</v>
      </c>
      <c r="I36" s="184">
        <f t="shared" si="6"/>
        <v>16</v>
      </c>
      <c r="J36" s="184">
        <f t="shared" si="7"/>
        <v>5</v>
      </c>
      <c r="K36" s="184">
        <f t="shared" si="8"/>
        <v>4</v>
      </c>
      <c r="L36" s="184">
        <f t="shared" si="9"/>
        <v>4</v>
      </c>
      <c r="M36" s="184">
        <f t="shared" si="10"/>
        <v>4</v>
      </c>
      <c r="N36" s="184">
        <f t="shared" si="11"/>
        <v>5</v>
      </c>
      <c r="O36" s="184">
        <f t="shared" si="12"/>
        <v>5</v>
      </c>
      <c r="P36" s="185" t="str">
        <f t="shared" si="13"/>
        <v>Hemba-Class Destroyer, Unique</v>
      </c>
      <c r="Q36" s="263" t="str">
        <f t="shared" si="14"/>
        <v>May carry torpedoes of any race</v>
      </c>
    </row>
    <row r="37" spans="2:17" ht="13" customHeight="1" x14ac:dyDescent="0.15">
      <c r="B37" s="262">
        <f t="shared" si="0"/>
        <v>145</v>
      </c>
      <c r="C37" s="181" t="str">
        <f t="shared" si="1"/>
        <v>Ferengi</v>
      </c>
      <c r="D37" s="182" t="s">
        <v>39</v>
      </c>
      <c r="E37" s="183" t="str">
        <f t="shared" si="2"/>
        <v>R</v>
      </c>
      <c r="F37" s="183">
        <f t="shared" si="3"/>
        <v>4</v>
      </c>
      <c r="G37" s="183">
        <f t="shared" si="4"/>
        <v>13</v>
      </c>
      <c r="H37" s="184" t="str">
        <f t="shared" si="5"/>
        <v>Ship-Large</v>
      </c>
      <c r="I37" s="184">
        <f t="shared" si="6"/>
        <v>22</v>
      </c>
      <c r="J37" s="184">
        <f t="shared" si="7"/>
        <v>6</v>
      </c>
      <c r="K37" s="184">
        <f t="shared" si="8"/>
        <v>6</v>
      </c>
      <c r="L37" s="184">
        <f t="shared" si="9"/>
        <v>6</v>
      </c>
      <c r="M37" s="184">
        <f t="shared" si="10"/>
        <v>5</v>
      </c>
      <c r="N37" s="184">
        <f t="shared" si="11"/>
        <v>9</v>
      </c>
      <c r="O37" s="184">
        <f t="shared" si="12"/>
        <v>4</v>
      </c>
      <c r="P37" s="185" t="str">
        <f t="shared" si="13"/>
        <v>Gu'Bok-Class Heavy Cruiser, Flagship, Unique</v>
      </c>
      <c r="Q37" s="263" t="str">
        <f t="shared" si="14"/>
        <v>+3 Command</v>
      </c>
    </row>
    <row r="38" spans="2:17" ht="14" x14ac:dyDescent="0.15">
      <c r="B38" s="264">
        <f t="shared" si="0"/>
        <v>148</v>
      </c>
      <c r="C38" s="265" t="str">
        <f t="shared" si="1"/>
        <v>Ferengi</v>
      </c>
      <c r="D38" s="266" t="s">
        <v>396</v>
      </c>
      <c r="E38" s="267" t="str">
        <f t="shared" si="2"/>
        <v>R</v>
      </c>
      <c r="F38" s="267">
        <f t="shared" si="3"/>
        <v>9</v>
      </c>
      <c r="G38" s="267">
        <f t="shared" si="4"/>
        <v>15</v>
      </c>
      <c r="H38" s="268" t="str">
        <f t="shared" si="5"/>
        <v>Ship-Small</v>
      </c>
      <c r="I38" s="268">
        <f t="shared" si="6"/>
        <v>11</v>
      </c>
      <c r="J38" s="268">
        <f t="shared" si="7"/>
        <v>3</v>
      </c>
      <c r="K38" s="268">
        <f t="shared" si="8"/>
        <v>4</v>
      </c>
      <c r="L38" s="268">
        <f t="shared" si="9"/>
        <v>3</v>
      </c>
      <c r="M38" s="268">
        <f t="shared" si="10"/>
        <v>3</v>
      </c>
      <c r="N38" s="268">
        <f t="shared" si="11"/>
        <v>3</v>
      </c>
      <c r="O38" s="268">
        <f t="shared" si="12"/>
        <v>6</v>
      </c>
      <c r="P38" s="269" t="str">
        <f t="shared" si="13"/>
        <v>To'Piln-Class Heavy Escort, Unique</v>
      </c>
      <c r="Q38" s="270" t="str">
        <f t="shared" si="14"/>
        <v>Start: -1 to cost of Upgrade Tech</v>
      </c>
    </row>
    <row r="39" spans="2:17" ht="14" x14ac:dyDescent="0.15">
      <c r="B39" s="16" t="str">
        <f t="shared" si="0"/>
        <v/>
      </c>
      <c r="C39" s="13" t="str">
        <f t="shared" si="1"/>
        <v/>
      </c>
      <c r="E39" s="16" t="str">
        <f t="shared" si="2"/>
        <v/>
      </c>
      <c r="F39" s="16" t="str">
        <f t="shared" si="3"/>
        <v/>
      </c>
      <c r="G39" s="16" t="str">
        <f t="shared" si="4"/>
        <v/>
      </c>
      <c r="H39" s="38" t="str">
        <f t="shared" si="5"/>
        <v/>
      </c>
      <c r="I39" s="38" t="str">
        <f t="shared" si="6"/>
        <v/>
      </c>
      <c r="J39" s="38" t="str">
        <f t="shared" si="7"/>
        <v/>
      </c>
      <c r="K39" s="38" t="str">
        <f t="shared" si="8"/>
        <v/>
      </c>
      <c r="L39" s="38" t="str">
        <f t="shared" si="9"/>
        <v/>
      </c>
      <c r="M39" s="38" t="str">
        <f t="shared" si="10"/>
        <v/>
      </c>
      <c r="N39" s="38" t="str">
        <f t="shared" si="11"/>
        <v/>
      </c>
      <c r="O39" s="38" t="str">
        <f t="shared" si="12"/>
        <v/>
      </c>
      <c r="P39" s="39" t="str">
        <f t="shared" si="13"/>
        <v/>
      </c>
      <c r="Q39" s="39" t="str">
        <f t="shared" si="14"/>
        <v/>
      </c>
    </row>
    <row r="40" spans="2:17" ht="14" x14ac:dyDescent="0.15">
      <c r="B40" s="16" t="str">
        <f t="shared" si="0"/>
        <v/>
      </c>
      <c r="C40" s="13" t="str">
        <f t="shared" si="1"/>
        <v/>
      </c>
      <c r="E40" s="16" t="str">
        <f t="shared" si="2"/>
        <v/>
      </c>
      <c r="F40" s="16" t="str">
        <f t="shared" si="3"/>
        <v/>
      </c>
      <c r="G40" s="16" t="str">
        <f t="shared" si="4"/>
        <v/>
      </c>
      <c r="H40" s="38" t="str">
        <f t="shared" si="5"/>
        <v/>
      </c>
      <c r="I40" s="38" t="str">
        <f t="shared" si="6"/>
        <v/>
      </c>
      <c r="J40" s="38" t="str">
        <f t="shared" si="7"/>
        <v/>
      </c>
      <c r="K40" s="38" t="str">
        <f t="shared" si="8"/>
        <v/>
      </c>
      <c r="L40" s="38" t="str">
        <f t="shared" si="9"/>
        <v/>
      </c>
      <c r="M40" s="38" t="str">
        <f t="shared" si="10"/>
        <v/>
      </c>
      <c r="N40" s="38" t="str">
        <f t="shared" si="11"/>
        <v/>
      </c>
      <c r="O40" s="38" t="str">
        <f t="shared" si="12"/>
        <v/>
      </c>
      <c r="P40" s="39" t="str">
        <f t="shared" si="13"/>
        <v/>
      </c>
      <c r="Q40" s="39" t="str">
        <f t="shared" si="14"/>
        <v/>
      </c>
    </row>
    <row r="41" spans="2:17" ht="14" x14ac:dyDescent="0.15">
      <c r="C41" s="13" t="str">
        <f t="shared" ref="C41:C43" si="15">IF(B41="","",VLOOKUP(B41,FLATNUM,5,FALSE))</f>
        <v/>
      </c>
      <c r="E41" s="16" t="str">
        <f t="shared" si="2"/>
        <v/>
      </c>
      <c r="F41" s="16" t="str">
        <f t="shared" si="3"/>
        <v/>
      </c>
      <c r="G41" s="16" t="str">
        <f t="shared" si="4"/>
        <v/>
      </c>
      <c r="H41" s="38" t="str">
        <f t="shared" si="5"/>
        <v/>
      </c>
      <c r="I41" s="38" t="str">
        <f t="shared" si="6"/>
        <v/>
      </c>
      <c r="J41" s="38" t="str">
        <f t="shared" si="7"/>
        <v/>
      </c>
      <c r="K41" s="38" t="str">
        <f t="shared" si="8"/>
        <v/>
      </c>
      <c r="L41" s="38" t="str">
        <f t="shared" si="9"/>
        <v/>
      </c>
      <c r="M41" s="38" t="str">
        <f t="shared" si="10"/>
        <v/>
      </c>
      <c r="N41" s="38" t="str">
        <f t="shared" si="11"/>
        <v/>
      </c>
      <c r="O41" s="38" t="str">
        <f t="shared" si="12"/>
        <v/>
      </c>
      <c r="P41" s="39" t="str">
        <f t="shared" si="13"/>
        <v/>
      </c>
      <c r="Q41" s="39" t="str">
        <f t="shared" si="14"/>
        <v/>
      </c>
    </row>
    <row r="42" spans="2:17" ht="14" x14ac:dyDescent="0.15">
      <c r="C42" s="13" t="str">
        <f t="shared" si="15"/>
        <v/>
      </c>
      <c r="E42" s="16" t="str">
        <f t="shared" si="2"/>
        <v/>
      </c>
      <c r="F42" s="16" t="str">
        <f t="shared" si="3"/>
        <v/>
      </c>
      <c r="G42" s="16" t="str">
        <f t="shared" si="4"/>
        <v/>
      </c>
      <c r="H42" s="38" t="str">
        <f t="shared" si="5"/>
        <v/>
      </c>
      <c r="I42" s="38" t="str">
        <f t="shared" si="6"/>
        <v/>
      </c>
      <c r="J42" s="38" t="str">
        <f t="shared" si="7"/>
        <v/>
      </c>
      <c r="K42" s="38" t="str">
        <f t="shared" si="8"/>
        <v/>
      </c>
      <c r="L42" s="38" t="str">
        <f t="shared" si="9"/>
        <v/>
      </c>
      <c r="M42" s="38" t="str">
        <f t="shared" si="10"/>
        <v/>
      </c>
      <c r="N42" s="38" t="str">
        <f t="shared" si="11"/>
        <v/>
      </c>
      <c r="O42" s="38" t="str">
        <f t="shared" si="12"/>
        <v/>
      </c>
      <c r="P42" s="39" t="str">
        <f t="shared" si="13"/>
        <v/>
      </c>
      <c r="Q42" s="39" t="str">
        <f t="shared" si="14"/>
        <v/>
      </c>
    </row>
    <row r="43" spans="2:17" ht="14" x14ac:dyDescent="0.15">
      <c r="C43" s="13" t="str">
        <f t="shared" si="15"/>
        <v/>
      </c>
      <c r="E43" s="16" t="str">
        <f t="shared" si="2"/>
        <v/>
      </c>
      <c r="F43" s="16" t="str">
        <f t="shared" si="3"/>
        <v/>
      </c>
      <c r="G43" s="16" t="str">
        <f t="shared" si="4"/>
        <v/>
      </c>
      <c r="H43" s="38" t="str">
        <f t="shared" si="5"/>
        <v/>
      </c>
      <c r="I43" s="38" t="str">
        <f t="shared" si="6"/>
        <v/>
      </c>
      <c r="J43" s="38" t="str">
        <f t="shared" si="7"/>
        <v/>
      </c>
      <c r="K43" s="38" t="str">
        <f t="shared" si="8"/>
        <v/>
      </c>
      <c r="L43" s="38" t="str">
        <f t="shared" si="9"/>
        <v/>
      </c>
      <c r="M43" s="38" t="str">
        <f t="shared" si="10"/>
        <v/>
      </c>
      <c r="N43" s="38" t="str">
        <f t="shared" si="11"/>
        <v/>
      </c>
      <c r="O43" s="38" t="str">
        <f t="shared" si="12"/>
        <v/>
      </c>
      <c r="P43" s="39" t="str">
        <f t="shared" si="13"/>
        <v/>
      </c>
      <c r="Q43" s="39" t="str">
        <f t="shared" si="14"/>
        <v/>
      </c>
    </row>
    <row r="44" spans="2:17" x14ac:dyDescent="0.15">
      <c r="F44" s="16" t="str">
        <f t="shared" ref="F44:F45" si="16">IF(D44="","",VLOOKUP(D44,DISCLIST,3,FALSE)+VLOOKUP(D44,DISCLIST,4,FALSE))</f>
        <v/>
      </c>
      <c r="G44" s="16" t="str">
        <f t="shared" ref="G44:G45" si="17">IF(D44="","",VLOOKUP(D44,DISCLIST,5,FALSE))</f>
        <v/>
      </c>
    </row>
    <row r="45" spans="2:17" x14ac:dyDescent="0.15">
      <c r="F45" s="16" t="str">
        <f t="shared" si="16"/>
        <v/>
      </c>
      <c r="G45" s="16" t="str">
        <f t="shared" si="17"/>
        <v/>
      </c>
    </row>
  </sheetData>
  <pageMargins left="0.5" right="0.5" top="0.75" bottom="0.75" header="0.5" footer="0.5"/>
  <pageSetup orientation="landscape" horizontalDpi="300" verticalDpi="300"/>
  <headerFooter>
    <oddHeader>&amp;CRed Alert! Disk List</oddHeader>
    <oddFooter>&amp;L&amp;D&amp;CPage &amp;P of &amp;N&amp;R&amp;F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Q20"/>
  <sheetViews>
    <sheetView showRuler="0" workbookViewId="0">
      <pane ySplit="1" topLeftCell="A2" activePane="bottomLeft" state="frozen"/>
      <selection activeCell="I47" sqref="I47"/>
      <selection pane="bottomLeft" activeCell="E13" sqref="E13"/>
    </sheetView>
  </sheetViews>
  <sheetFormatPr baseColWidth="10" defaultColWidth="3.6640625" defaultRowHeight="13" x14ac:dyDescent="0.15"/>
  <cols>
    <col min="1" max="1" width="2.83203125" style="3" customWidth="1"/>
    <col min="2" max="2" width="6.83203125" style="4" customWidth="1"/>
    <col min="3" max="3" width="11" style="4" customWidth="1"/>
    <col min="4" max="4" width="15.83203125" style="4" customWidth="1"/>
    <col min="5" max="5" width="5.83203125" style="4" customWidth="1"/>
    <col min="6" max="6" width="8.33203125" style="4" customWidth="1"/>
    <col min="7" max="7" width="8.33203125" style="3" customWidth="1"/>
    <col min="8" max="8" width="4.83203125" style="4" bestFit="1" customWidth="1"/>
    <col min="9" max="9" width="49.6640625" style="3" customWidth="1"/>
    <col min="10" max="16384" width="3.6640625" style="3"/>
  </cols>
  <sheetData>
    <row r="1" spans="2:17" s="6" customFormat="1" ht="27" customHeight="1" thickBot="1" x14ac:dyDescent="0.2">
      <c r="B1" s="34" t="s">
        <v>435</v>
      </c>
      <c r="C1" s="34" t="s">
        <v>579</v>
      </c>
      <c r="D1" s="34" t="s">
        <v>448</v>
      </c>
      <c r="E1" s="34" t="s">
        <v>1</v>
      </c>
      <c r="F1" s="34" t="s">
        <v>569</v>
      </c>
      <c r="G1" s="34" t="s">
        <v>570</v>
      </c>
      <c r="H1" s="34" t="s">
        <v>139</v>
      </c>
      <c r="I1" s="35" t="s">
        <v>203</v>
      </c>
    </row>
    <row r="2" spans="2:17" s="1" customFormat="1" ht="14" x14ac:dyDescent="0.15">
      <c r="B2" s="16" t="str">
        <f t="shared" ref="B2:B12" si="0">IF($D2="","",VLOOKUP($D2,DISCNAME,22,FALSE))</f>
        <v/>
      </c>
      <c r="C2" s="13" t="str">
        <f t="shared" ref="C2:C11" si="1">IF($B2="","",VLOOKUP($B2,FLATNUM,5,FALSE))</f>
        <v/>
      </c>
      <c r="D2" s="2"/>
      <c r="E2" s="16" t="str">
        <f t="shared" ref="E2:E12" si="2">IF($D2="","",VLOOKUP($D2,DISCNAME,7,FALSE))</f>
        <v/>
      </c>
      <c r="F2" s="16" t="str">
        <f t="shared" ref="F2:F12" si="3">IF(D2="","",VLOOKUP(D2,DISCNAME,3,FALSE)+VLOOKUP(D2,DISCNAME,4,FALSE))</f>
        <v/>
      </c>
      <c r="G2" s="16" t="str">
        <f t="shared" ref="G2:G12" si="4">IF($D2="","",VLOOKUP($D2,DISCNAME,5,FALSE))</f>
        <v/>
      </c>
      <c r="H2" s="38" t="str">
        <f t="shared" ref="H2:H12" si="5">IF($D2="","",VLOOKUP($D2,DISCNAME,13,FALSE))</f>
        <v/>
      </c>
      <c r="I2" s="39" t="str">
        <f t="shared" ref="I2:I12" si="6">IF($D2="","",VLOOKUP($D2,DISCNAME,21,FALSE))</f>
        <v/>
      </c>
    </row>
    <row r="3" spans="2:17" ht="13" customHeight="1" x14ac:dyDescent="0.15">
      <c r="B3" s="271">
        <f t="shared" si="0"/>
        <v>133</v>
      </c>
      <c r="C3" s="272" t="str">
        <f t="shared" si="1"/>
        <v>Federation</v>
      </c>
      <c r="D3" s="272" t="s">
        <v>87</v>
      </c>
      <c r="E3" s="273" t="str">
        <f t="shared" si="2"/>
        <v>U</v>
      </c>
      <c r="F3" s="273">
        <f t="shared" si="3"/>
        <v>3</v>
      </c>
      <c r="G3" s="273">
        <f t="shared" si="4"/>
        <v>10</v>
      </c>
      <c r="H3" s="274">
        <f t="shared" si="5"/>
        <v>2</v>
      </c>
      <c r="I3" s="275" t="str">
        <f t="shared" si="6"/>
        <v>Crew can transport back to its ship, regardless of shield status</v>
      </c>
    </row>
    <row r="4" spans="2:17" ht="14" x14ac:dyDescent="0.15">
      <c r="B4" s="276">
        <f t="shared" si="0"/>
        <v>137</v>
      </c>
      <c r="C4" s="277" t="str">
        <f t="shared" si="1"/>
        <v>Federation</v>
      </c>
      <c r="D4" s="277" t="s">
        <v>114</v>
      </c>
      <c r="E4" s="278" t="str">
        <f t="shared" si="2"/>
        <v>U</v>
      </c>
      <c r="F4" s="278">
        <f t="shared" si="3"/>
        <v>5</v>
      </c>
      <c r="G4" s="278">
        <f t="shared" si="4"/>
        <v>18</v>
      </c>
      <c r="H4" s="279">
        <f t="shared" si="5"/>
        <v>1</v>
      </c>
      <c r="I4" s="280" t="str">
        <f t="shared" si="6"/>
        <v>+2 Combat Value</v>
      </c>
    </row>
    <row r="5" spans="2:17" ht="14" x14ac:dyDescent="0.15">
      <c r="B5" s="16" t="str">
        <f t="shared" si="0"/>
        <v/>
      </c>
      <c r="C5" s="13" t="str">
        <f t="shared" si="1"/>
        <v/>
      </c>
      <c r="D5" s="13"/>
      <c r="E5" s="16" t="str">
        <f t="shared" si="2"/>
        <v/>
      </c>
      <c r="F5" s="16" t="str">
        <f t="shared" si="3"/>
        <v/>
      </c>
      <c r="G5" s="16" t="str">
        <f t="shared" si="4"/>
        <v/>
      </c>
      <c r="H5" s="38" t="str">
        <f t="shared" si="5"/>
        <v/>
      </c>
      <c r="I5" s="39" t="str">
        <f t="shared" si="6"/>
        <v/>
      </c>
      <c r="J5" s="8"/>
      <c r="K5" s="8"/>
      <c r="L5" s="8"/>
      <c r="M5" s="8"/>
      <c r="N5" s="8"/>
      <c r="O5" s="8"/>
      <c r="P5" s="8"/>
      <c r="Q5" s="8"/>
    </row>
    <row r="6" spans="2:17" ht="14" x14ac:dyDescent="0.15">
      <c r="B6" s="290">
        <f t="shared" si="0"/>
        <v>135</v>
      </c>
      <c r="C6" s="291" t="str">
        <f t="shared" si="1"/>
        <v>Klingon</v>
      </c>
      <c r="D6" s="291" t="s">
        <v>98</v>
      </c>
      <c r="E6" s="292" t="str">
        <f t="shared" si="2"/>
        <v>U</v>
      </c>
      <c r="F6" s="292">
        <f t="shared" si="3"/>
        <v>2</v>
      </c>
      <c r="G6" s="292">
        <f t="shared" si="4"/>
        <v>10</v>
      </c>
      <c r="H6" s="293">
        <f t="shared" si="5"/>
        <v>2</v>
      </c>
      <c r="I6" s="294" t="str">
        <f t="shared" si="6"/>
        <v>+3 Combat value vs. Crew with no Personal Tech</v>
      </c>
      <c r="J6" s="8"/>
      <c r="K6" s="8"/>
      <c r="L6" s="8"/>
      <c r="M6" s="8"/>
      <c r="N6" s="8"/>
      <c r="O6" s="8"/>
      <c r="P6" s="8"/>
      <c r="Q6" s="8"/>
    </row>
    <row r="7" spans="2:17" ht="14" x14ac:dyDescent="0.15">
      <c r="B7" s="295">
        <v>139</v>
      </c>
      <c r="C7" s="296" t="str">
        <f t="shared" si="1"/>
        <v>Klingon</v>
      </c>
      <c r="D7" s="296" t="s">
        <v>53</v>
      </c>
      <c r="E7" s="297" t="str">
        <f t="shared" si="2"/>
        <v>U</v>
      </c>
      <c r="F7" s="297">
        <f t="shared" ref="F7" si="7">IF(D7="","",VLOOKUP(D7,DISCNAME,3,FALSE)+VLOOKUP(D7,DISCNAME,4,FALSE))</f>
        <v>2</v>
      </c>
      <c r="G7" s="297">
        <f t="shared" si="4"/>
        <v>8</v>
      </c>
      <c r="H7" s="298">
        <f t="shared" si="5"/>
        <v>2</v>
      </c>
      <c r="I7" s="299" t="str">
        <f t="shared" si="6"/>
        <v>+2 Combat Value</v>
      </c>
      <c r="J7" s="8"/>
      <c r="K7" s="8"/>
      <c r="L7" s="8"/>
      <c r="M7" s="8"/>
      <c r="N7" s="8"/>
      <c r="O7" s="8"/>
      <c r="P7" s="8"/>
      <c r="Q7" s="8"/>
    </row>
    <row r="8" spans="2:17" ht="14" x14ac:dyDescent="0.15">
      <c r="B8" s="16" t="str">
        <f>IF($D8="","",VLOOKUP($D8,DISCNAME,22,FALSE))</f>
        <v/>
      </c>
      <c r="C8" s="13" t="str">
        <f>IF($B8="","",VLOOKUP($B8,FLATNUM,5,FALSE))</f>
        <v/>
      </c>
      <c r="D8" s="13"/>
      <c r="E8" s="16" t="str">
        <f>IF($D8="","",VLOOKUP($D8,DISCNAME,7,FALSE))</f>
        <v/>
      </c>
      <c r="F8" s="16" t="str">
        <f>IF(D8="","",VLOOKUP(D8,DISCNAME,3,FALSE)+VLOOKUP(D8,DISCNAME,4,FALSE))</f>
        <v/>
      </c>
      <c r="G8" s="16" t="str">
        <f>IF($D8="","",VLOOKUP($D8,DISCNAME,5,FALSE))</f>
        <v/>
      </c>
      <c r="H8" s="38" t="str">
        <f>IF($D8="","",VLOOKUP($D8,DISCNAME,13,FALSE))</f>
        <v/>
      </c>
      <c r="I8" s="39" t="str">
        <f>IF($D8="","",VLOOKUP($D8,DISCNAME,21,FALSE))</f>
        <v/>
      </c>
      <c r="N8" s="8"/>
      <c r="O8" s="8"/>
      <c r="P8" s="8"/>
      <c r="Q8" s="8"/>
    </row>
    <row r="9" spans="2:17" ht="14" x14ac:dyDescent="0.15">
      <c r="B9" s="300">
        <f t="shared" si="0"/>
        <v>138</v>
      </c>
      <c r="C9" s="301" t="str">
        <f t="shared" si="1"/>
        <v>Romulan</v>
      </c>
      <c r="D9" s="301" t="s">
        <v>53</v>
      </c>
      <c r="E9" s="302" t="str">
        <f t="shared" si="2"/>
        <v>U</v>
      </c>
      <c r="F9" s="302">
        <f t="shared" si="3"/>
        <v>2</v>
      </c>
      <c r="G9" s="302">
        <f t="shared" si="4"/>
        <v>8</v>
      </c>
      <c r="H9" s="303">
        <f t="shared" si="5"/>
        <v>2</v>
      </c>
      <c r="I9" s="304" t="str">
        <f t="shared" si="6"/>
        <v>+2 Combat Value</v>
      </c>
      <c r="J9" s="8"/>
      <c r="K9" s="8"/>
      <c r="L9" s="8"/>
      <c r="M9" s="8"/>
      <c r="N9" s="8"/>
      <c r="O9" s="8"/>
      <c r="P9" s="8"/>
      <c r="Q9" s="8"/>
    </row>
    <row r="10" spans="2:17" ht="14" x14ac:dyDescent="0.15">
      <c r="B10" s="16" t="str">
        <f t="shared" si="0"/>
        <v/>
      </c>
      <c r="C10" s="13" t="str">
        <f t="shared" si="1"/>
        <v/>
      </c>
      <c r="D10" s="13"/>
      <c r="E10" s="16" t="str">
        <f t="shared" si="2"/>
        <v/>
      </c>
      <c r="F10" s="16" t="str">
        <f t="shared" si="3"/>
        <v/>
      </c>
      <c r="G10" s="16" t="str">
        <f t="shared" si="4"/>
        <v/>
      </c>
      <c r="H10" s="38" t="str">
        <f t="shared" si="5"/>
        <v/>
      </c>
      <c r="I10" s="39" t="str">
        <f t="shared" si="6"/>
        <v/>
      </c>
      <c r="N10" s="27"/>
      <c r="O10" s="27"/>
      <c r="P10" s="27"/>
      <c r="Q10" s="27"/>
    </row>
    <row r="11" spans="2:17" ht="14" x14ac:dyDescent="0.15">
      <c r="B11" s="281">
        <f t="shared" si="0"/>
        <v>148</v>
      </c>
      <c r="C11" s="282" t="str">
        <f t="shared" si="1"/>
        <v>Ferengi</v>
      </c>
      <c r="D11" s="282" t="s">
        <v>397</v>
      </c>
      <c r="E11" s="283" t="str">
        <f t="shared" si="2"/>
        <v>R</v>
      </c>
      <c r="F11" s="283">
        <f t="shared" si="3"/>
        <v>6</v>
      </c>
      <c r="G11" s="283">
        <f t="shared" si="4"/>
        <v>12</v>
      </c>
      <c r="H11" s="284">
        <f t="shared" si="5"/>
        <v>1</v>
      </c>
      <c r="I11" s="285" t="str">
        <f t="shared" si="6"/>
        <v>+2 Combat Value</v>
      </c>
    </row>
    <row r="12" spans="2:17" ht="14" x14ac:dyDescent="0.15">
      <c r="B12" s="16" t="str">
        <f t="shared" si="0"/>
        <v/>
      </c>
      <c r="E12" s="16" t="str">
        <f t="shared" si="2"/>
        <v/>
      </c>
      <c r="F12" s="16" t="str">
        <f t="shared" si="3"/>
        <v/>
      </c>
      <c r="G12" s="16" t="str">
        <f t="shared" si="4"/>
        <v/>
      </c>
      <c r="H12" s="38" t="str">
        <f t="shared" si="5"/>
        <v/>
      </c>
      <c r="I12" s="39" t="str">
        <f t="shared" si="6"/>
        <v/>
      </c>
    </row>
    <row r="13" spans="2:17" x14ac:dyDescent="0.15">
      <c r="B13" s="286"/>
      <c r="C13" s="287" t="s">
        <v>3</v>
      </c>
      <c r="D13" s="287" t="s">
        <v>449</v>
      </c>
      <c r="E13" s="287"/>
      <c r="F13" s="287"/>
      <c r="G13" s="287"/>
      <c r="H13" s="288"/>
      <c r="I13" s="289"/>
    </row>
    <row r="14" spans="2:17" x14ac:dyDescent="0.15">
      <c r="B14" s="32"/>
      <c r="E14" s="16" t="str">
        <f>IF($D14="","",VLOOKUP($D14,DISCNAME,7,FALSE))</f>
        <v/>
      </c>
      <c r="F14" s="16" t="str">
        <f>IF(D14="","",VLOOKUP(D14,DISCLIST,3,FALSE)+VLOOKUP(D14,DISCLIST,4,FALSE))</f>
        <v/>
      </c>
      <c r="G14" s="16" t="str">
        <f>IF(D14="","",VLOOKUP(D14,DISCLIST,5,FALSE))</f>
        <v/>
      </c>
    </row>
    <row r="15" spans="2:17" x14ac:dyDescent="0.15">
      <c r="B15" s="32"/>
      <c r="E15" s="16" t="str">
        <f>IF($D15="","",VLOOKUP($D15,DISCNAME,7,FALSE))</f>
        <v/>
      </c>
      <c r="F15" s="16" t="str">
        <f>IF(D15="","",VLOOKUP(D15,DISCLIST,3,FALSE)+VLOOKUP(D15,DISCLIST,4,FALSE))</f>
        <v/>
      </c>
      <c r="G15" s="16" t="str">
        <f>IF(D15="","",VLOOKUP(D15,DISCLIST,5,FALSE))</f>
        <v/>
      </c>
    </row>
    <row r="16" spans="2:17" x14ac:dyDescent="0.15">
      <c r="B16" s="32"/>
      <c r="E16" s="16" t="str">
        <f>IF($D16="","",VLOOKUP($D16,DISCNAME,7,FALSE))</f>
        <v/>
      </c>
      <c r="F16" s="16" t="str">
        <f>IF(D16="","",VLOOKUP(D16,DISCLIST,3,FALSE)+VLOOKUP(D16,DISCLIST,4,FALSE))</f>
        <v/>
      </c>
      <c r="G16" s="16" t="str">
        <f>IF(D16="","",VLOOKUP(D16,DISCLIST,5,FALSE))</f>
        <v/>
      </c>
    </row>
    <row r="17" spans="2:7" x14ac:dyDescent="0.15">
      <c r="B17" s="32"/>
      <c r="F17" s="16" t="str">
        <f>IF(D17="","",VLOOKUP(D17,DISCLIST,3,FALSE)+VLOOKUP(D17,DISCLIST,4,FALSE))</f>
        <v/>
      </c>
      <c r="G17" s="16" t="str">
        <f>IF(D17="","",VLOOKUP(D17,DISCLIST,5,FALSE))</f>
        <v/>
      </c>
    </row>
    <row r="18" spans="2:7" x14ac:dyDescent="0.15">
      <c r="B18" s="32"/>
      <c r="G18" s="16" t="str">
        <f>IF(B18="","",VLOOKUP(B18,FLATLIST,11))</f>
        <v/>
      </c>
    </row>
    <row r="19" spans="2:7" x14ac:dyDescent="0.15">
      <c r="B19" s="32"/>
      <c r="G19" s="16" t="str">
        <f>IF(B19="","",VLOOKUP(B19,FLATLIST,11))</f>
        <v/>
      </c>
    </row>
    <row r="20" spans="2:7" x14ac:dyDescent="0.15">
      <c r="B20" s="32"/>
      <c r="G20" s="16" t="str">
        <f>IF(B20="","",VLOOKUP(B20,FLATLIST,11))</f>
        <v/>
      </c>
    </row>
  </sheetData>
  <pageMargins left="0.5" right="0.5" top="0.75" bottom="0.75" header="0.5" footer="0.5"/>
  <pageSetup orientation="landscape" horizontalDpi="300" verticalDpi="300"/>
  <headerFooter>
    <oddHeader>&amp;CRed Alert! Disk List</oddHeader>
    <oddFooter>&amp;L&amp;D&amp;CPage &amp;P of &amp;N&amp;R&amp;F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27"/>
  <sheetViews>
    <sheetView showRuler="0" workbookViewId="0">
      <pane ySplit="1" topLeftCell="A2" activePane="bottomLeft" state="frozen"/>
      <selection activeCell="I47" sqref="I47"/>
      <selection pane="bottomLeft" activeCell="D22" sqref="D22"/>
    </sheetView>
  </sheetViews>
  <sheetFormatPr baseColWidth="10" defaultColWidth="3.6640625" defaultRowHeight="13" x14ac:dyDescent="0.15"/>
  <cols>
    <col min="1" max="1" width="2.83203125" style="3" customWidth="1"/>
    <col min="2" max="2" width="6.83203125" style="4" customWidth="1"/>
    <col min="3" max="3" width="11" style="4" customWidth="1"/>
    <col min="4" max="4" width="32" style="3" customWidth="1"/>
    <col min="5" max="5" width="5.83203125" style="4" customWidth="1"/>
    <col min="6" max="8" width="8.33203125" style="4" customWidth="1"/>
    <col min="9" max="9" width="8" style="4" customWidth="1"/>
    <col min="10" max="10" width="19.1640625" style="4" customWidth="1"/>
    <col min="11" max="11" width="7.1640625" style="4" customWidth="1"/>
    <col min="12" max="12" width="39.1640625" style="37" customWidth="1"/>
    <col min="13" max="16384" width="3.6640625" style="3"/>
  </cols>
  <sheetData>
    <row r="1" spans="1:17" s="1" customFormat="1" ht="27" customHeight="1" x14ac:dyDescent="0.15">
      <c r="B1" s="2" t="s">
        <v>435</v>
      </c>
      <c r="C1" s="2" t="s">
        <v>579</v>
      </c>
      <c r="D1" s="1" t="s">
        <v>448</v>
      </c>
      <c r="E1" s="2" t="s">
        <v>1</v>
      </c>
      <c r="F1" s="2" t="s">
        <v>569</v>
      </c>
      <c r="G1" s="2" t="s">
        <v>570</v>
      </c>
      <c r="H1" s="19" t="s">
        <v>240</v>
      </c>
      <c r="I1" s="19" t="s">
        <v>241</v>
      </c>
      <c r="J1" s="19" t="s">
        <v>242</v>
      </c>
      <c r="K1" s="19" t="s">
        <v>441</v>
      </c>
      <c r="L1" s="41" t="s">
        <v>607</v>
      </c>
    </row>
    <row r="2" spans="1:17" s="1" customFormat="1" ht="13" customHeight="1" x14ac:dyDescent="0.15">
      <c r="B2" s="16" t="str">
        <f t="shared" ref="B2:B26" si="0">IF($D2="","",VLOOKUP($D2,DISCNAME,22,FALSE))</f>
        <v/>
      </c>
      <c r="C2" s="13" t="str">
        <f t="shared" ref="C2:C26" si="1">IF($B2="","",VLOOKUP($B2,FLATNUM,5,FALSE))</f>
        <v/>
      </c>
      <c r="E2" s="16" t="str">
        <f t="shared" ref="E2:E26" si="2">IF($D2="","",VLOOKUP($D2,DISCNAME,7,FALSE))</f>
        <v/>
      </c>
      <c r="F2" s="16" t="str">
        <f t="shared" ref="F2:F26" si="3">IF(D2="","",VLOOKUP(D2,DISCNAME,3,FALSE)+VLOOKUP(D2,DISCNAME,4,FALSE))</f>
        <v/>
      </c>
      <c r="G2" s="16" t="str">
        <f t="shared" ref="G2:G26" si="4">IF($D2="","",VLOOKUP($D2,DISCNAME,5,FALSE))</f>
        <v/>
      </c>
      <c r="H2" s="19"/>
      <c r="I2" s="16" t="str">
        <f t="shared" ref="I2:I25" si="5">IF($B2="","",VLOOKUP($B2,FLATNUM,21,FALSE))</f>
        <v/>
      </c>
      <c r="J2" s="16" t="str">
        <f t="shared" ref="J2:J23" si="6">IF($B2="","",VLOOKUP($B2,FLATNUM,22,FALSE))</f>
        <v/>
      </c>
      <c r="K2" s="16" t="str">
        <f t="shared" ref="K2:K23" si="7">IF($B2="","",VLOOKUP($B2,FLATNUM,23,FALSE))</f>
        <v/>
      </c>
      <c r="L2" s="15" t="str">
        <f t="shared" ref="L2:L23" si="8">IF($B2="","",VLOOKUP($B2,FLATNUM,24,FALSE))</f>
        <v/>
      </c>
    </row>
    <row r="3" spans="1:17" x14ac:dyDescent="0.15">
      <c r="A3"/>
      <c r="B3" s="69">
        <f t="shared" si="0"/>
        <v>163</v>
      </c>
      <c r="C3" s="45" t="str">
        <f t="shared" si="1"/>
        <v>Federation</v>
      </c>
      <c r="D3" s="305" t="s">
        <v>485</v>
      </c>
      <c r="E3" s="70" t="str">
        <f t="shared" si="2"/>
        <v>E</v>
      </c>
      <c r="F3" s="70">
        <f t="shared" si="3"/>
        <v>2</v>
      </c>
      <c r="G3" s="70">
        <f t="shared" si="4"/>
        <v>9</v>
      </c>
      <c r="H3" s="70">
        <f t="shared" ref="H3:H23" si="9">IF($B3="","",VLOOKUP($B3,FLATNUM,20,FALSE))</f>
        <v>2</v>
      </c>
      <c r="I3" s="70">
        <f t="shared" si="5"/>
        <v>0</v>
      </c>
      <c r="J3" s="70">
        <f t="shared" si="6"/>
        <v>0</v>
      </c>
      <c r="K3" s="70">
        <f t="shared" si="7"/>
        <v>2</v>
      </c>
      <c r="L3" s="306" t="str">
        <f t="shared" si="8"/>
        <v>2 to 4</v>
      </c>
    </row>
    <row r="4" spans="1:17" x14ac:dyDescent="0.15">
      <c r="A4"/>
      <c r="B4" s="71">
        <f t="shared" si="0"/>
        <v>168</v>
      </c>
      <c r="C4" s="27" t="str">
        <f t="shared" si="1"/>
        <v>Federation</v>
      </c>
      <c r="D4" s="9" t="s">
        <v>496</v>
      </c>
      <c r="E4" s="12" t="str">
        <f t="shared" si="2"/>
        <v>E</v>
      </c>
      <c r="F4" s="12">
        <f t="shared" si="3"/>
        <v>2</v>
      </c>
      <c r="G4" s="12">
        <f t="shared" si="4"/>
        <v>6</v>
      </c>
      <c r="H4" s="12">
        <f t="shared" si="9"/>
        <v>2</v>
      </c>
      <c r="I4" s="12">
        <f t="shared" si="5"/>
        <v>0</v>
      </c>
      <c r="J4" s="12">
        <f t="shared" si="6"/>
        <v>0</v>
      </c>
      <c r="K4" s="12">
        <f t="shared" si="7"/>
        <v>2</v>
      </c>
      <c r="L4" s="307" t="str">
        <f t="shared" si="8"/>
        <v>2 to 6</v>
      </c>
    </row>
    <row r="5" spans="1:17" x14ac:dyDescent="0.15">
      <c r="A5"/>
      <c r="B5" s="71">
        <f t="shared" si="0"/>
        <v>173</v>
      </c>
      <c r="C5" s="27" t="str">
        <f t="shared" si="1"/>
        <v>Romulan</v>
      </c>
      <c r="D5" s="9" t="s">
        <v>481</v>
      </c>
      <c r="E5" s="12" t="str">
        <f t="shared" si="2"/>
        <v>E</v>
      </c>
      <c r="F5" s="12">
        <f t="shared" si="3"/>
        <v>2</v>
      </c>
      <c r="G5" s="12">
        <f t="shared" si="4"/>
        <v>10</v>
      </c>
      <c r="H5" s="12">
        <f t="shared" si="9"/>
        <v>2</v>
      </c>
      <c r="I5" s="12">
        <f t="shared" si="5"/>
        <v>0</v>
      </c>
      <c r="J5" s="12">
        <f t="shared" si="6"/>
        <v>0</v>
      </c>
      <c r="K5" s="12">
        <f t="shared" si="7"/>
        <v>2</v>
      </c>
      <c r="L5" s="307" t="str">
        <f t="shared" si="8"/>
        <v>2 to 4</v>
      </c>
    </row>
    <row r="6" spans="1:17" x14ac:dyDescent="0.15">
      <c r="A6"/>
      <c r="B6" s="71">
        <f t="shared" si="0"/>
        <v>178</v>
      </c>
      <c r="C6" s="27" t="str">
        <f t="shared" si="1"/>
        <v>Romulan</v>
      </c>
      <c r="D6" s="9" t="s">
        <v>568</v>
      </c>
      <c r="E6" s="12" t="str">
        <f t="shared" si="2"/>
        <v>E</v>
      </c>
      <c r="F6" s="12">
        <f t="shared" si="3"/>
        <v>2</v>
      </c>
      <c r="G6" s="12">
        <f t="shared" si="4"/>
        <v>7</v>
      </c>
      <c r="H6" s="12">
        <f t="shared" si="9"/>
        <v>2</v>
      </c>
      <c r="I6" s="12">
        <f t="shared" si="5"/>
        <v>0</v>
      </c>
      <c r="J6" s="12">
        <f t="shared" si="6"/>
        <v>0</v>
      </c>
      <c r="K6" s="12">
        <f t="shared" si="7"/>
        <v>2</v>
      </c>
      <c r="L6" s="307" t="str">
        <f t="shared" si="8"/>
        <v>2 to 4</v>
      </c>
      <c r="M6" s="8"/>
      <c r="N6" s="8"/>
      <c r="O6" s="8"/>
      <c r="P6" s="8"/>
      <c r="Q6" s="8"/>
    </row>
    <row r="7" spans="1:17" x14ac:dyDescent="0.15">
      <c r="A7"/>
      <c r="B7" s="71">
        <f t="shared" si="0"/>
        <v>183</v>
      </c>
      <c r="C7" s="27" t="str">
        <f t="shared" si="1"/>
        <v>Klingon</v>
      </c>
      <c r="D7" s="9" t="s">
        <v>486</v>
      </c>
      <c r="E7" s="12" t="str">
        <f t="shared" si="2"/>
        <v>E</v>
      </c>
      <c r="F7" s="12">
        <f t="shared" si="3"/>
        <v>2</v>
      </c>
      <c r="G7" s="12">
        <f t="shared" si="4"/>
        <v>10</v>
      </c>
      <c r="H7" s="12">
        <f t="shared" si="9"/>
        <v>2</v>
      </c>
      <c r="I7" s="12">
        <f t="shared" si="5"/>
        <v>0</v>
      </c>
      <c r="J7" s="12">
        <f t="shared" si="6"/>
        <v>0</v>
      </c>
      <c r="K7" s="12">
        <f t="shared" si="7"/>
        <v>2</v>
      </c>
      <c r="L7" s="307">
        <f t="shared" si="8"/>
        <v>2</v>
      </c>
      <c r="M7" s="8"/>
      <c r="N7" s="8"/>
      <c r="O7" s="8"/>
      <c r="P7" s="8"/>
      <c r="Q7" s="8"/>
    </row>
    <row r="8" spans="1:17" x14ac:dyDescent="0.15">
      <c r="A8"/>
      <c r="B8" s="71">
        <f t="shared" si="0"/>
        <v>188</v>
      </c>
      <c r="C8" s="27" t="str">
        <f t="shared" si="1"/>
        <v>Klingon</v>
      </c>
      <c r="D8" s="9" t="s">
        <v>488</v>
      </c>
      <c r="E8" s="12" t="str">
        <f t="shared" si="2"/>
        <v>E</v>
      </c>
      <c r="F8" s="12">
        <f t="shared" si="3"/>
        <v>5</v>
      </c>
      <c r="G8" s="12">
        <f t="shared" si="4"/>
        <v>11</v>
      </c>
      <c r="H8" s="12">
        <f t="shared" si="9"/>
        <v>2</v>
      </c>
      <c r="I8" s="12">
        <f t="shared" si="5"/>
        <v>0</v>
      </c>
      <c r="J8" s="12">
        <f t="shared" si="6"/>
        <v>0</v>
      </c>
      <c r="K8" s="12">
        <f t="shared" si="7"/>
        <v>2</v>
      </c>
      <c r="L8" s="307" t="str">
        <f t="shared" si="8"/>
        <v>2 to 6</v>
      </c>
      <c r="M8" s="8"/>
      <c r="N8" s="8"/>
      <c r="O8" s="8"/>
      <c r="P8" s="8"/>
      <c r="Q8" s="8"/>
    </row>
    <row r="9" spans="1:17" x14ac:dyDescent="0.15">
      <c r="A9"/>
      <c r="B9" s="71">
        <f t="shared" si="0"/>
        <v>193</v>
      </c>
      <c r="C9" s="27" t="str">
        <f t="shared" si="1"/>
        <v>Cardassian</v>
      </c>
      <c r="D9" s="9" t="s">
        <v>493</v>
      </c>
      <c r="E9" s="12" t="str">
        <f t="shared" si="2"/>
        <v>E</v>
      </c>
      <c r="F9" s="12">
        <f t="shared" si="3"/>
        <v>2</v>
      </c>
      <c r="G9" s="12">
        <f t="shared" si="4"/>
        <v>11</v>
      </c>
      <c r="H9" s="12">
        <f t="shared" si="9"/>
        <v>2</v>
      </c>
      <c r="I9" s="12">
        <f t="shared" si="5"/>
        <v>0</v>
      </c>
      <c r="J9" s="12">
        <f t="shared" si="6"/>
        <v>0</v>
      </c>
      <c r="K9" s="12">
        <f t="shared" si="7"/>
        <v>2</v>
      </c>
      <c r="L9" s="307">
        <f t="shared" si="8"/>
        <v>2</v>
      </c>
      <c r="N9" s="8"/>
      <c r="O9" s="8"/>
      <c r="P9" s="8"/>
      <c r="Q9" s="8"/>
    </row>
    <row r="10" spans="1:17" x14ac:dyDescent="0.15">
      <c r="A10"/>
      <c r="B10" s="71">
        <f t="shared" si="0"/>
        <v>198</v>
      </c>
      <c r="C10" s="27" t="str">
        <f t="shared" si="1"/>
        <v>Ferengi</v>
      </c>
      <c r="D10" s="9" t="s">
        <v>489</v>
      </c>
      <c r="E10" s="12" t="str">
        <f t="shared" si="2"/>
        <v>E</v>
      </c>
      <c r="F10" s="12">
        <f t="shared" si="3"/>
        <v>2</v>
      </c>
      <c r="G10" s="12">
        <f t="shared" si="4"/>
        <v>9</v>
      </c>
      <c r="H10" s="12">
        <f t="shared" si="9"/>
        <v>2</v>
      </c>
      <c r="I10" s="12">
        <f t="shared" si="5"/>
        <v>0</v>
      </c>
      <c r="J10" s="12">
        <f t="shared" si="6"/>
        <v>0</v>
      </c>
      <c r="K10" s="12">
        <f t="shared" si="7"/>
        <v>2</v>
      </c>
      <c r="L10" s="307">
        <f t="shared" si="8"/>
        <v>2</v>
      </c>
      <c r="N10" s="8"/>
      <c r="O10" s="8"/>
      <c r="P10" s="8"/>
      <c r="Q10" s="8"/>
    </row>
    <row r="11" spans="1:17" x14ac:dyDescent="0.15">
      <c r="A11"/>
      <c r="B11" s="69">
        <f t="shared" si="0"/>
        <v>109</v>
      </c>
      <c r="C11" s="45" t="str">
        <f t="shared" si="1"/>
        <v>Klingon</v>
      </c>
      <c r="D11" s="305" t="s">
        <v>491</v>
      </c>
      <c r="E11" s="70" t="str">
        <f t="shared" si="2"/>
        <v>C</v>
      </c>
      <c r="F11" s="70">
        <f t="shared" si="3"/>
        <v>4</v>
      </c>
      <c r="G11" s="70">
        <f t="shared" si="4"/>
        <v>21</v>
      </c>
      <c r="H11" s="70">
        <f t="shared" si="9"/>
        <v>2</v>
      </c>
      <c r="I11" s="70">
        <f t="shared" si="5"/>
        <v>0</v>
      </c>
      <c r="J11" s="70">
        <f t="shared" si="6"/>
        <v>0</v>
      </c>
      <c r="K11" s="70">
        <f t="shared" si="7"/>
        <v>2</v>
      </c>
      <c r="L11" s="306" t="str">
        <f t="shared" si="8"/>
        <v>4 to 6</v>
      </c>
      <c r="N11" s="27"/>
      <c r="O11" s="27"/>
      <c r="P11" s="27"/>
      <c r="Q11" s="27"/>
    </row>
    <row r="12" spans="1:17" x14ac:dyDescent="0.15">
      <c r="A12"/>
      <c r="B12" s="71">
        <f t="shared" si="0"/>
        <v>110</v>
      </c>
      <c r="C12" s="27" t="str">
        <f t="shared" si="1"/>
        <v>Ferengi</v>
      </c>
      <c r="D12" s="9" t="s">
        <v>494</v>
      </c>
      <c r="E12" s="12" t="str">
        <f t="shared" si="2"/>
        <v>C</v>
      </c>
      <c r="F12" s="12">
        <f t="shared" si="3"/>
        <v>2</v>
      </c>
      <c r="G12" s="12">
        <f t="shared" si="4"/>
        <v>18</v>
      </c>
      <c r="H12" s="12">
        <f t="shared" si="9"/>
        <v>2</v>
      </c>
      <c r="I12" s="12">
        <f t="shared" si="5"/>
        <v>0</v>
      </c>
      <c r="J12" s="12">
        <f t="shared" si="6"/>
        <v>0</v>
      </c>
      <c r="K12" s="12">
        <f t="shared" si="7"/>
        <v>2</v>
      </c>
      <c r="L12" s="307" t="str">
        <f t="shared" si="8"/>
        <v>2 to 4</v>
      </c>
    </row>
    <row r="13" spans="1:17" x14ac:dyDescent="0.15">
      <c r="A13"/>
      <c r="B13" s="71">
        <f t="shared" si="0"/>
        <v>111</v>
      </c>
      <c r="C13" s="27" t="str">
        <f t="shared" si="1"/>
        <v>Other</v>
      </c>
      <c r="D13" s="9" t="s">
        <v>487</v>
      </c>
      <c r="E13" s="12" t="str">
        <f t="shared" si="2"/>
        <v>C</v>
      </c>
      <c r="F13" s="12">
        <f t="shared" si="3"/>
        <v>2</v>
      </c>
      <c r="G13" s="12">
        <f t="shared" si="4"/>
        <v>25</v>
      </c>
      <c r="H13" s="12">
        <f t="shared" si="9"/>
        <v>2</v>
      </c>
      <c r="I13" s="12">
        <f t="shared" si="5"/>
        <v>0</v>
      </c>
      <c r="J13" s="12">
        <f t="shared" si="6"/>
        <v>0</v>
      </c>
      <c r="K13" s="12">
        <f t="shared" si="7"/>
        <v>2</v>
      </c>
      <c r="L13" s="307" t="str">
        <f t="shared" si="8"/>
        <v>2 to 4</v>
      </c>
    </row>
    <row r="14" spans="1:17" x14ac:dyDescent="0.15">
      <c r="A14"/>
      <c r="B14" s="71">
        <f t="shared" si="0"/>
        <v>112</v>
      </c>
      <c r="C14" s="27" t="str">
        <f t="shared" si="1"/>
        <v>Other</v>
      </c>
      <c r="D14" s="9" t="s">
        <v>480</v>
      </c>
      <c r="E14" s="12" t="str">
        <f t="shared" si="2"/>
        <v>C</v>
      </c>
      <c r="F14" s="12">
        <f t="shared" si="3"/>
        <v>2</v>
      </c>
      <c r="G14" s="12">
        <f t="shared" si="4"/>
        <v>20</v>
      </c>
      <c r="H14" s="12">
        <f t="shared" si="9"/>
        <v>1</v>
      </c>
      <c r="I14" s="12">
        <f t="shared" si="5"/>
        <v>1</v>
      </c>
      <c r="J14" s="12">
        <f t="shared" si="6"/>
        <v>0</v>
      </c>
      <c r="K14" s="12" t="str">
        <f t="shared" si="7"/>
        <v>Any</v>
      </c>
      <c r="L14" s="307" t="str">
        <f t="shared" si="8"/>
        <v>2 to 4</v>
      </c>
    </row>
    <row r="15" spans="1:17" x14ac:dyDescent="0.15">
      <c r="A15"/>
      <c r="B15" s="69">
        <f t="shared" si="0"/>
        <v>129</v>
      </c>
      <c r="C15" s="45" t="str">
        <f t="shared" si="1"/>
        <v>Other</v>
      </c>
      <c r="D15" s="305" t="s">
        <v>567</v>
      </c>
      <c r="E15" s="70" t="str">
        <f t="shared" si="2"/>
        <v>U</v>
      </c>
      <c r="F15" s="70">
        <f t="shared" si="3"/>
        <v>1</v>
      </c>
      <c r="G15" s="70">
        <f t="shared" si="4"/>
        <v>12</v>
      </c>
      <c r="H15" s="70">
        <f t="shared" si="9"/>
        <v>1</v>
      </c>
      <c r="I15" s="70">
        <f t="shared" si="5"/>
        <v>1</v>
      </c>
      <c r="J15" s="70">
        <f t="shared" si="6"/>
        <v>0</v>
      </c>
      <c r="K15" s="70">
        <f t="shared" si="7"/>
        <v>2</v>
      </c>
      <c r="L15" s="306">
        <f t="shared" si="8"/>
        <v>2</v>
      </c>
    </row>
    <row r="16" spans="1:17" x14ac:dyDescent="0.15">
      <c r="A16"/>
      <c r="B16" s="71">
        <f t="shared" si="0"/>
        <v>130</v>
      </c>
      <c r="C16" s="27" t="str">
        <f t="shared" si="1"/>
        <v>Romulan</v>
      </c>
      <c r="D16" s="9" t="s">
        <v>482</v>
      </c>
      <c r="E16" s="12" t="str">
        <f t="shared" si="2"/>
        <v>U</v>
      </c>
      <c r="F16" s="12">
        <f t="shared" si="3"/>
        <v>1</v>
      </c>
      <c r="G16" s="12">
        <f t="shared" si="4"/>
        <v>15</v>
      </c>
      <c r="H16" s="12">
        <f t="shared" si="9"/>
        <v>2</v>
      </c>
      <c r="I16" s="12">
        <f t="shared" si="5"/>
        <v>0</v>
      </c>
      <c r="J16" s="12">
        <f t="shared" si="6"/>
        <v>0</v>
      </c>
      <c r="K16" s="12">
        <f t="shared" si="7"/>
        <v>2</v>
      </c>
      <c r="L16" s="307" t="str">
        <f t="shared" si="8"/>
        <v>6 to 8</v>
      </c>
    </row>
    <row r="17" spans="1:12" x14ac:dyDescent="0.15">
      <c r="A17"/>
      <c r="B17" s="71">
        <f t="shared" si="0"/>
        <v>131</v>
      </c>
      <c r="C17" s="27" t="str">
        <f t="shared" si="1"/>
        <v>Other</v>
      </c>
      <c r="D17" s="9" t="s">
        <v>495</v>
      </c>
      <c r="E17" s="12" t="str">
        <f t="shared" si="2"/>
        <v>U</v>
      </c>
      <c r="F17" s="12">
        <f t="shared" si="3"/>
        <v>1</v>
      </c>
      <c r="G17" s="12">
        <f t="shared" si="4"/>
        <v>10</v>
      </c>
      <c r="H17" s="12">
        <f t="shared" si="9"/>
        <v>2</v>
      </c>
      <c r="I17" s="12">
        <f t="shared" si="5"/>
        <v>0</v>
      </c>
      <c r="J17" s="12">
        <f t="shared" si="6"/>
        <v>0</v>
      </c>
      <c r="K17" s="12">
        <f t="shared" si="7"/>
        <v>2</v>
      </c>
      <c r="L17" s="307" t="str">
        <f t="shared" si="8"/>
        <v>2 to 4</v>
      </c>
    </row>
    <row r="18" spans="1:12" x14ac:dyDescent="0.15">
      <c r="A18"/>
      <c r="B18" s="73">
        <f t="shared" si="0"/>
        <v>132</v>
      </c>
      <c r="C18" s="50" t="str">
        <f t="shared" si="1"/>
        <v>Cardassian</v>
      </c>
      <c r="D18" s="308" t="s">
        <v>497</v>
      </c>
      <c r="E18" s="74" t="str">
        <f t="shared" si="2"/>
        <v>U</v>
      </c>
      <c r="F18" s="74">
        <f t="shared" si="3"/>
        <v>1</v>
      </c>
      <c r="G18" s="74">
        <f t="shared" si="4"/>
        <v>15</v>
      </c>
      <c r="H18" s="74">
        <f t="shared" si="9"/>
        <v>2</v>
      </c>
      <c r="I18" s="74">
        <f t="shared" si="5"/>
        <v>0</v>
      </c>
      <c r="J18" s="74">
        <f t="shared" si="6"/>
        <v>0</v>
      </c>
      <c r="K18" s="74">
        <f t="shared" si="7"/>
        <v>2</v>
      </c>
      <c r="L18" s="309" t="str">
        <f t="shared" si="8"/>
        <v>4 to 6</v>
      </c>
    </row>
    <row r="19" spans="1:12" x14ac:dyDescent="0.15">
      <c r="A19"/>
      <c r="B19" s="71">
        <f t="shared" si="0"/>
        <v>149</v>
      </c>
      <c r="C19" s="27" t="str">
        <f t="shared" si="1"/>
        <v>Other</v>
      </c>
      <c r="D19" s="9" t="s">
        <v>490</v>
      </c>
      <c r="E19" s="12" t="str">
        <f t="shared" si="2"/>
        <v>R</v>
      </c>
      <c r="F19" s="12">
        <f t="shared" si="3"/>
        <v>1</v>
      </c>
      <c r="G19" s="12">
        <f t="shared" si="4"/>
        <v>12</v>
      </c>
      <c r="H19" s="12">
        <f t="shared" si="9"/>
        <v>2</v>
      </c>
      <c r="I19" s="12">
        <f t="shared" si="5"/>
        <v>0</v>
      </c>
      <c r="J19" s="12">
        <f t="shared" si="6"/>
        <v>0</v>
      </c>
      <c r="K19" s="12">
        <f t="shared" si="7"/>
        <v>1</v>
      </c>
      <c r="L19" s="307" t="str">
        <f t="shared" si="8"/>
        <v>1 to 6</v>
      </c>
    </row>
    <row r="20" spans="1:12" x14ac:dyDescent="0.15">
      <c r="A20"/>
      <c r="B20" s="71">
        <f t="shared" si="0"/>
        <v>150</v>
      </c>
      <c r="C20" s="27" t="str">
        <f t="shared" si="1"/>
        <v>Other</v>
      </c>
      <c r="D20" s="9" t="s">
        <v>483</v>
      </c>
      <c r="E20" s="12" t="str">
        <f t="shared" si="2"/>
        <v>R</v>
      </c>
      <c r="F20" s="12">
        <f t="shared" si="3"/>
        <v>1</v>
      </c>
      <c r="G20" s="12">
        <f t="shared" si="4"/>
        <v>12</v>
      </c>
      <c r="H20" s="12">
        <f t="shared" si="9"/>
        <v>2</v>
      </c>
      <c r="I20" s="12">
        <f t="shared" si="5"/>
        <v>0</v>
      </c>
      <c r="J20" s="12">
        <f t="shared" si="6"/>
        <v>0</v>
      </c>
      <c r="K20" s="12">
        <f t="shared" si="7"/>
        <v>2</v>
      </c>
      <c r="L20" s="307">
        <f t="shared" si="8"/>
        <v>2</v>
      </c>
    </row>
    <row r="21" spans="1:12" x14ac:dyDescent="0.15">
      <c r="A21"/>
      <c r="B21" s="71">
        <f t="shared" si="0"/>
        <v>151</v>
      </c>
      <c r="C21" s="27" t="str">
        <f t="shared" si="1"/>
        <v>Other</v>
      </c>
      <c r="D21" s="9" t="s">
        <v>484</v>
      </c>
      <c r="E21" s="12" t="str">
        <f t="shared" si="2"/>
        <v>R</v>
      </c>
      <c r="F21" s="12">
        <f t="shared" si="3"/>
        <v>1</v>
      </c>
      <c r="G21" s="12">
        <f t="shared" si="4"/>
        <v>8</v>
      </c>
      <c r="H21" s="12">
        <f t="shared" si="9"/>
        <v>2</v>
      </c>
      <c r="I21" s="12">
        <f t="shared" si="5"/>
        <v>0</v>
      </c>
      <c r="J21" s="12">
        <f t="shared" si="6"/>
        <v>0</v>
      </c>
      <c r="K21" s="12" t="str">
        <f t="shared" si="7"/>
        <v>Any</v>
      </c>
      <c r="L21" s="307" t="str">
        <f t="shared" si="8"/>
        <v>2 to 6</v>
      </c>
    </row>
    <row r="22" spans="1:12" x14ac:dyDescent="0.15">
      <c r="A22"/>
      <c r="B22" s="73">
        <f t="shared" si="0"/>
        <v>152</v>
      </c>
      <c r="C22" s="50" t="str">
        <f t="shared" si="1"/>
        <v>Other</v>
      </c>
      <c r="D22" s="308" t="s">
        <v>492</v>
      </c>
      <c r="E22" s="74" t="str">
        <f t="shared" si="2"/>
        <v>R</v>
      </c>
      <c r="F22" s="74">
        <f t="shared" si="3"/>
        <v>1</v>
      </c>
      <c r="G22" s="74">
        <f t="shared" si="4"/>
        <v>10</v>
      </c>
      <c r="H22" s="74">
        <f t="shared" si="9"/>
        <v>2</v>
      </c>
      <c r="I22" s="74">
        <f t="shared" si="5"/>
        <v>0</v>
      </c>
      <c r="J22" s="74">
        <f t="shared" si="6"/>
        <v>0</v>
      </c>
      <c r="K22" s="74" t="str">
        <f t="shared" si="7"/>
        <v>Any</v>
      </c>
      <c r="L22" s="309" t="str">
        <f t="shared" si="8"/>
        <v>2 to 6</v>
      </c>
    </row>
    <row r="23" spans="1:12" x14ac:dyDescent="0.15">
      <c r="B23" s="16" t="str">
        <f t="shared" si="0"/>
        <v/>
      </c>
      <c r="C23" s="13" t="str">
        <f t="shared" si="1"/>
        <v/>
      </c>
      <c r="E23" s="16" t="str">
        <f t="shared" si="2"/>
        <v/>
      </c>
      <c r="F23" s="16" t="str">
        <f t="shared" si="3"/>
        <v/>
      </c>
      <c r="G23" s="16" t="str">
        <f t="shared" si="4"/>
        <v/>
      </c>
      <c r="H23" s="16" t="str">
        <f t="shared" si="9"/>
        <v/>
      </c>
      <c r="I23" s="16" t="str">
        <f t="shared" si="5"/>
        <v/>
      </c>
      <c r="J23" s="16" t="str">
        <f t="shared" si="6"/>
        <v/>
      </c>
      <c r="K23" s="16" t="str">
        <f t="shared" si="7"/>
        <v/>
      </c>
      <c r="L23" s="15" t="str">
        <f t="shared" si="8"/>
        <v/>
      </c>
    </row>
    <row r="24" spans="1:12" x14ac:dyDescent="0.15">
      <c r="B24" s="16" t="str">
        <f t="shared" si="0"/>
        <v/>
      </c>
      <c r="C24" s="13" t="str">
        <f t="shared" si="1"/>
        <v/>
      </c>
      <c r="E24" s="16" t="str">
        <f t="shared" si="2"/>
        <v/>
      </c>
      <c r="F24" s="16" t="str">
        <f t="shared" si="3"/>
        <v/>
      </c>
      <c r="G24" s="16" t="str">
        <f t="shared" si="4"/>
        <v/>
      </c>
      <c r="I24" s="16" t="str">
        <f t="shared" si="5"/>
        <v/>
      </c>
    </row>
    <row r="25" spans="1:12" x14ac:dyDescent="0.15">
      <c r="B25" s="16" t="str">
        <f t="shared" si="0"/>
        <v/>
      </c>
      <c r="C25" s="13" t="str">
        <f t="shared" si="1"/>
        <v/>
      </c>
      <c r="E25" s="16" t="str">
        <f t="shared" si="2"/>
        <v/>
      </c>
      <c r="F25" s="16" t="str">
        <f t="shared" si="3"/>
        <v/>
      </c>
      <c r="G25" s="16" t="str">
        <f t="shared" si="4"/>
        <v/>
      </c>
      <c r="I25" s="16" t="str">
        <f t="shared" si="5"/>
        <v/>
      </c>
    </row>
    <row r="26" spans="1:12" x14ac:dyDescent="0.15">
      <c r="B26" s="16" t="str">
        <f t="shared" si="0"/>
        <v/>
      </c>
      <c r="C26" s="13" t="str">
        <f t="shared" si="1"/>
        <v/>
      </c>
      <c r="E26" s="16" t="str">
        <f t="shared" si="2"/>
        <v/>
      </c>
      <c r="F26" s="16" t="str">
        <f t="shared" si="3"/>
        <v/>
      </c>
      <c r="G26" s="16" t="str">
        <f t="shared" si="4"/>
        <v/>
      </c>
    </row>
    <row r="27" spans="1:12" x14ac:dyDescent="0.15">
      <c r="E27" s="16" t="str">
        <f t="shared" ref="E27" si="10">IF(D27="","",VLOOKUP(D27,DISCLIST,7,FALSE))</f>
        <v/>
      </c>
      <c r="F27" s="16"/>
      <c r="G27" s="16"/>
    </row>
  </sheetData>
  <pageMargins left="0.5" right="0.5" top="0.75" bottom="0.75" header="0.5" footer="0.5"/>
  <pageSetup orientation="landscape" horizontalDpi="300" verticalDpi="300"/>
  <headerFooter>
    <oddHeader>&amp;CRed Alert! Disk List</oddHeader>
    <oddFooter>&amp;L&amp;D&amp;CPage &amp;P of &amp;N&amp;R&amp;F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O68"/>
  <sheetViews>
    <sheetView showRuler="0" workbookViewId="0">
      <selection activeCell="N47" sqref="N47"/>
    </sheetView>
  </sheetViews>
  <sheetFormatPr baseColWidth="10" defaultRowHeight="13" x14ac:dyDescent="0.15"/>
  <cols>
    <col min="1" max="1" width="5.1640625" customWidth="1"/>
    <col min="5" max="5" width="3.6640625" customWidth="1"/>
    <col min="6" max="14" width="11.83203125" customWidth="1"/>
    <col min="15" max="15" width="18.83203125" customWidth="1"/>
  </cols>
  <sheetData>
    <row r="2" spans="2:15" x14ac:dyDescent="0.15">
      <c r="B2" s="43" t="s">
        <v>584</v>
      </c>
      <c r="F2" s="14"/>
      <c r="G2" s="14" t="s">
        <v>7</v>
      </c>
      <c r="H2" s="13" t="s">
        <v>176</v>
      </c>
      <c r="I2" s="13" t="s">
        <v>22</v>
      </c>
      <c r="J2" s="13" t="s">
        <v>257</v>
      </c>
      <c r="K2" s="13" t="s">
        <v>355</v>
      </c>
      <c r="L2" s="13" t="s">
        <v>354</v>
      </c>
      <c r="M2" s="13" t="s">
        <v>356</v>
      </c>
      <c r="N2" s="13" t="s">
        <v>502</v>
      </c>
    </row>
    <row r="3" spans="2:15" x14ac:dyDescent="0.15">
      <c r="B3" t="s">
        <v>585</v>
      </c>
      <c r="F3" s="14" t="s">
        <v>3</v>
      </c>
      <c r="G3" s="44">
        <f t="array" ref="G3">SUM(IF(Discs!$C$2:$C$241=$F3,IF(Discs!E$2:$K$241=G$12,Discs!$H$2:$H$241,0),0))</f>
        <v>117</v>
      </c>
      <c r="H3" s="45">
        <f t="array" ref="H3">SUM(IF(Discs!$C$2:$C$241=$F3,IF(Discs!F$2:$K$241=H$12,Discs!$H$2:$H$241,0),0))</f>
        <v>47</v>
      </c>
      <c r="I3" s="45">
        <f t="array" ref="I3">SUM(IF(Discs!$C$2:$C$241=$F3,IF(Discs!G$2:$K$241=I$12,Discs!$H$2:$H$241,0),0))</f>
        <v>26</v>
      </c>
      <c r="J3" s="45">
        <f t="array" ref="J3">SUM(IF(Discs!$C$2:$C$241=$F3,IF(Discs!H$2:$K$241=J$12,Discs!$H$2:$H$241,0),0))</f>
        <v>0</v>
      </c>
      <c r="K3" s="45">
        <f t="array" ref="K3">SUM(IF(Discs!$C$2:$C$241=$F3,IF(Discs!I$2:$K$241=K$12,Discs!$H$2:$H$241,0),0))</f>
        <v>5</v>
      </c>
      <c r="L3" s="45">
        <f t="array" ref="L3">SUM(IF(Discs!$C$2:$C$241=$F3,IF(Discs!J$2:$K$241=L$12,Discs!$H$2:$H$241,0),0))</f>
        <v>19</v>
      </c>
      <c r="M3" s="46">
        <f t="array" ref="M3">SUM(IF(Discs!$C$2:$C$241=$F3,IF(Discs!$K$2:K$241=M$12,Discs!$H$2:$H$241,0),0))</f>
        <v>6</v>
      </c>
      <c r="N3" s="28">
        <f t="shared" ref="N3:N8" si="0">SUM(G3:M3)</f>
        <v>220</v>
      </c>
    </row>
    <row r="4" spans="2:15" x14ac:dyDescent="0.15">
      <c r="F4" s="13" t="s">
        <v>30</v>
      </c>
      <c r="G4" s="47">
        <f t="array" ref="G4">SUM(IF(Discs!$C$2:$C$241=$F4,IF(Discs!E$2:$K$241=G$12,Discs!$H$2:$H$241,0),0))</f>
        <v>432</v>
      </c>
      <c r="H4" s="27">
        <f t="array" ref="H4">SUM(IF(Discs!$C$2:$C$241=$F4,IF(Discs!F$2:$K$241=H$12,Discs!$H$2:$H$241,0),0))</f>
        <v>239</v>
      </c>
      <c r="I4" s="27">
        <f t="array" ref="I4">SUM(IF(Discs!$C$2:$C$241=$F4,IF(Discs!G$2:$K$241=I$12,Discs!$H$2:$H$241,0),0))</f>
        <v>15</v>
      </c>
      <c r="J4" s="27">
        <f t="array" ref="J4">SUM(IF(Discs!$C$2:$C$241=$F4,IF(Discs!H$2:$K$241=J$12,Discs!$H$2:$H$241,0),0))</f>
        <v>28</v>
      </c>
      <c r="K4" s="27">
        <f t="array" ref="K4">SUM(IF(Discs!$C$2:$C$241=$F4,IF(Discs!I$2:$K$241=K$12,Discs!$H$2:$H$241,0),0))</f>
        <v>9</v>
      </c>
      <c r="L4" s="27">
        <f t="array" ref="L4">SUM(IF(Discs!$C$2:$C$241=$F4,IF(Discs!J$2:$K$241=L$12,Discs!$H$2:$H$241,0),0))</f>
        <v>98</v>
      </c>
      <c r="M4" s="48">
        <f t="array" ref="M4">SUM(IF(Discs!$C$2:$C$241=$F4,IF(Discs!$K$2:K$241=M$12,Discs!$H$2:$H$241,0),0))</f>
        <v>0</v>
      </c>
      <c r="N4" s="28">
        <f t="shared" si="0"/>
        <v>821</v>
      </c>
    </row>
    <row r="5" spans="2:15" x14ac:dyDescent="0.15">
      <c r="F5" s="13" t="s">
        <v>33</v>
      </c>
      <c r="G5" s="47">
        <f t="array" ref="G5">SUM(IF(Discs!$C$2:$C$241=$F5,IF(Discs!E$2:$K$241=G$12,Discs!$H$2:$H$241,0),0))</f>
        <v>231</v>
      </c>
      <c r="H5" s="27">
        <f t="array" ref="H5">SUM(IF(Discs!$C$2:$C$241=$F5,IF(Discs!F$2:$K$241=H$12,Discs!$H$2:$H$241,0),0))</f>
        <v>131</v>
      </c>
      <c r="I5" s="27">
        <f t="array" ref="I5">SUM(IF(Discs!$C$2:$C$241=$F5,IF(Discs!G$2:$K$241=I$12,Discs!$H$2:$H$241,0),0))</f>
        <v>27</v>
      </c>
      <c r="J5" s="27">
        <f t="array" ref="J5">SUM(IF(Discs!$C$2:$C$241=$F5,IF(Discs!H$2:$K$241=J$12,Discs!$H$2:$H$241,0),0))</f>
        <v>12</v>
      </c>
      <c r="K5" s="27">
        <f t="array" ref="K5">SUM(IF(Discs!$C$2:$C$241=$F5,IF(Discs!I$2:$K$241=K$12,Discs!$H$2:$H$241,0),0))</f>
        <v>15</v>
      </c>
      <c r="L5" s="27">
        <f t="array" ref="L5">SUM(IF(Discs!$C$2:$C$241=$F5,IF(Discs!J$2:$K$241=L$12,Discs!$H$2:$H$241,0),0))</f>
        <v>51</v>
      </c>
      <c r="M5" s="48">
        <f t="array" ref="M5">SUM(IF(Discs!$C$2:$C$241=$F5,IF(Discs!$K$2:K$241=M$12,Discs!$H$2:$H$241,0),0))</f>
        <v>13</v>
      </c>
      <c r="N5" s="28">
        <f t="shared" si="0"/>
        <v>480</v>
      </c>
    </row>
    <row r="6" spans="2:15" x14ac:dyDescent="0.15">
      <c r="F6" s="13" t="s">
        <v>68</v>
      </c>
      <c r="G6" s="47">
        <f t="array" ref="G6">SUM(IF(Discs!$C$2:$C$241=$F6,IF(Discs!E$2:$K$241=G$12,Discs!$H$2:$H$241,0),0))</f>
        <v>318</v>
      </c>
      <c r="H6" s="27">
        <f t="array" ref="H6">SUM(IF(Discs!$C$2:$C$241=$F6,IF(Discs!F$2:$K$241=H$12,Discs!$H$2:$H$241,0),0))</f>
        <v>173</v>
      </c>
      <c r="I6" s="27">
        <f t="array" ref="I6">SUM(IF(Discs!$C$2:$C$241=$F6,IF(Discs!G$2:$K$241=I$12,Discs!$H$2:$H$241,0),0))</f>
        <v>42</v>
      </c>
      <c r="J6" s="27">
        <f t="array" ref="J6">SUM(IF(Discs!$C$2:$C$241=$F6,IF(Discs!H$2:$K$241=J$12,Discs!$H$2:$H$241,0),0))</f>
        <v>21</v>
      </c>
      <c r="K6" s="27">
        <f t="array" ref="K6">SUM(IF(Discs!$C$2:$C$241=$F6,IF(Discs!I$2:$K$241=K$12,Discs!$H$2:$H$241,0),0))</f>
        <v>10</v>
      </c>
      <c r="L6" s="27">
        <f t="array" ref="L6">SUM(IF(Discs!$C$2:$C$241=$F6,IF(Discs!J$2:$K$241=L$12,Discs!$H$2:$H$241,0),0))</f>
        <v>74</v>
      </c>
      <c r="M6" s="48">
        <f t="array" ref="M6">SUM(IF(Discs!$C$2:$C$241=$F6,IF(Discs!$K$2:K$241=M$12,Discs!$H$2:$H$241,0),0))</f>
        <v>7</v>
      </c>
      <c r="N6" s="28">
        <f t="shared" si="0"/>
        <v>645</v>
      </c>
    </row>
    <row r="7" spans="2:15" x14ac:dyDescent="0.15">
      <c r="F7" s="13" t="s">
        <v>26</v>
      </c>
      <c r="G7" s="47">
        <f t="array" ref="G7">SUM(IF(Discs!$C$2:$C$241=$F7,IF(Discs!E$2:$K$241=G$12,Discs!$H$2:$H$241,0),0))</f>
        <v>264</v>
      </c>
      <c r="H7" s="27">
        <f t="array" ref="H7">SUM(IF(Discs!$C$2:$C$241=$F7,IF(Discs!F$2:$K$241=H$12,Discs!$H$2:$H$241,0),0))</f>
        <v>174</v>
      </c>
      <c r="I7" s="27">
        <f t="array" ref="I7">SUM(IF(Discs!$C$2:$C$241=$F7,IF(Discs!G$2:$K$241=I$12,Discs!$H$2:$H$241,0),0))</f>
        <v>32</v>
      </c>
      <c r="J7" s="27">
        <f t="array" ref="J7">SUM(IF(Discs!$C$2:$C$241=$F7,IF(Discs!H$2:$K$241=J$12,Discs!$H$2:$H$241,0),0))</f>
        <v>8</v>
      </c>
      <c r="K7" s="27">
        <f t="array" ref="K7">SUM(IF(Discs!$C$2:$C$241=$F7,IF(Discs!I$2:$K$241=K$12,Discs!$H$2:$H$241,0),0))</f>
        <v>0</v>
      </c>
      <c r="L7" s="27">
        <f t="array" ref="L7">SUM(IF(Discs!$C$2:$C$241=$F7,IF(Discs!J$2:$K$241=L$12,Discs!$H$2:$H$241,0),0))</f>
        <v>67</v>
      </c>
      <c r="M7" s="48">
        <f t="array" ref="M7">SUM(IF(Discs!$C$2:$C$241=$F7,IF(Discs!$K$2:K$241=M$12,Discs!$H$2:$H$241,0),0))</f>
        <v>17</v>
      </c>
      <c r="N7" s="28">
        <f t="shared" si="0"/>
        <v>562</v>
      </c>
    </row>
    <row r="8" spans="2:15" ht="14" thickBot="1" x14ac:dyDescent="0.2">
      <c r="F8" s="13" t="s">
        <v>577</v>
      </c>
      <c r="G8" s="49">
        <f t="array" ref="G8">SUM(IF(Discs!$C$2:$C$241=$F8,IF(Discs!E$2:$K$241=G$12,Discs!$H$2:$H$241,0),0))</f>
        <v>0</v>
      </c>
      <c r="H8" s="50">
        <f t="array" ref="H8">SUM(IF(Discs!$C$2:$C$241=$F8,IF(Discs!F$2:$K$241=H$12,Discs!$H$2:$H$241,0),0))</f>
        <v>0</v>
      </c>
      <c r="I8" s="50">
        <f t="array" ref="I8">SUM(IF(Discs!$C$2:$C$241=$F8,IF(Discs!G$2:$K$241=I$12,Discs!$H$2:$H$241,0),0))</f>
        <v>109</v>
      </c>
      <c r="J8" s="50">
        <f t="array" ref="J8">SUM(IF(Discs!$C$2:$C$241=$F8,IF(Discs!H$2:$K$241=J$12,Discs!$H$2:$H$241,0),0))</f>
        <v>0</v>
      </c>
      <c r="K8" s="50">
        <f t="array" ref="K8">SUM(IF(Discs!$C$2:$C$241=$F8,IF(Discs!I$2:$K$241=K$12,Discs!$H$2:$H$241,0),0))</f>
        <v>0</v>
      </c>
      <c r="L8" s="50">
        <f t="array" ref="L8">SUM(IF(Discs!$C$2:$C$241=$F8,IF(Discs!J$2:$K$241=L$12,Discs!$H$2:$H$241,0),0))</f>
        <v>0</v>
      </c>
      <c r="M8" s="51">
        <f t="array" ref="M8">SUM(IF(Discs!$C$2:$C$241=$F8,IF(Discs!$K$2:K$241=M$12,Discs!$H$2:$H$241,0),0))</f>
        <v>0</v>
      </c>
      <c r="N8" s="52">
        <f t="shared" si="0"/>
        <v>109</v>
      </c>
    </row>
    <row r="9" spans="2:15" ht="14" thickTop="1" x14ac:dyDescent="0.15">
      <c r="F9" s="13" t="s">
        <v>502</v>
      </c>
      <c r="G9" s="27">
        <f t="shared" ref="G9:N9" si="1">SUM(G3:G8)</f>
        <v>1362</v>
      </c>
      <c r="H9" s="27">
        <f t="shared" si="1"/>
        <v>764</v>
      </c>
      <c r="I9" s="27">
        <f t="shared" si="1"/>
        <v>251</v>
      </c>
      <c r="J9" s="27">
        <f t="shared" si="1"/>
        <v>69</v>
      </c>
      <c r="K9" s="27">
        <f t="shared" si="1"/>
        <v>39</v>
      </c>
      <c r="L9" s="27">
        <f t="shared" si="1"/>
        <v>309</v>
      </c>
      <c r="M9" s="27">
        <f t="shared" si="1"/>
        <v>43</v>
      </c>
      <c r="N9" s="28">
        <f t="shared" si="1"/>
        <v>2837</v>
      </c>
      <c r="O9" t="s">
        <v>587</v>
      </c>
    </row>
    <row r="10" spans="2:15" x14ac:dyDescent="0.15">
      <c r="F10" s="13"/>
      <c r="G10" s="27"/>
      <c r="H10" s="27"/>
      <c r="I10" s="27"/>
      <c r="J10" s="27"/>
      <c r="K10" s="27"/>
      <c r="L10" s="27"/>
      <c r="M10" s="27"/>
    </row>
    <row r="11" spans="2:15" x14ac:dyDescent="0.15">
      <c r="F11" s="13"/>
      <c r="G11" s="27"/>
      <c r="H11" s="27"/>
      <c r="I11" s="27"/>
      <c r="J11" s="27"/>
      <c r="K11" s="27"/>
      <c r="L11" s="27"/>
      <c r="M11" s="27"/>
    </row>
    <row r="12" spans="2:15" x14ac:dyDescent="0.15">
      <c r="B12" s="43" t="s">
        <v>574</v>
      </c>
      <c r="F12" s="14"/>
      <c r="G12" s="14" t="s">
        <v>7</v>
      </c>
      <c r="H12" s="13" t="s">
        <v>176</v>
      </c>
      <c r="I12" s="13" t="s">
        <v>22</v>
      </c>
      <c r="J12" s="13" t="s">
        <v>257</v>
      </c>
      <c r="K12" s="13" t="s">
        <v>355</v>
      </c>
      <c r="L12" s="13" t="s">
        <v>354</v>
      </c>
      <c r="M12" s="13" t="s">
        <v>356</v>
      </c>
      <c r="N12" s="13" t="s">
        <v>502</v>
      </c>
    </row>
    <row r="13" spans="2:15" x14ac:dyDescent="0.15">
      <c r="B13" t="s">
        <v>586</v>
      </c>
      <c r="F13" s="14" t="s">
        <v>3</v>
      </c>
      <c r="G13" s="47">
        <f t="array" ref="G13">SUM(IF(Discs!$C$2:$C$241=$F13,IF(Discs!E$2:$K$241=G$12,Discs!$F$2:$F$241,0),0))</f>
        <v>28</v>
      </c>
      <c r="H13" s="45">
        <f t="array" ref="H13">SUM(IF(Discs!$C$2:$C$241=$F13,IF(Discs!F$2:$K$241=H$12,Discs!$F$2:$F$241,0),0))</f>
        <v>14</v>
      </c>
      <c r="I13" s="45">
        <f t="array" ref="I13">SUM(IF(Discs!$C$2:$C$241=$F13,IF(Discs!G$2:$K$241=I$12,Discs!$F$2:$F$241,0),0))</f>
        <v>2</v>
      </c>
      <c r="J13" s="45">
        <f t="array" ref="J13">SUM(IF(Discs!$C$2:$C$241=$F13,IF(Discs!H$2:$K$241=J$12,Discs!$F$2:$F$241,0),0))</f>
        <v>0</v>
      </c>
      <c r="K13" s="45">
        <f t="array" ref="K13">SUM(IF(Discs!$C$2:$C$241=$F13,IF(Discs!I$2:$K$241=K$12,Discs!$F$2:$F$241,0),0))</f>
        <v>1</v>
      </c>
      <c r="L13" s="45">
        <f t="array" ref="L13">SUM(IF(Discs!$C$2:$C$241=$F13,IF(Discs!J$2:$K$241=L$12,Discs!$F$2:$F$241,0),0))</f>
        <v>3</v>
      </c>
      <c r="M13" s="46">
        <f t="array" ref="M13">SUM(IF(Discs!$C$2:$C$241=$F13,IF(Discs!$K$2:K$241=M$12,Discs!$F$2:$F$241,0),0))</f>
        <v>1</v>
      </c>
      <c r="N13" s="28">
        <f t="shared" ref="N13:N18" si="2">SUM(G13:M13)</f>
        <v>49</v>
      </c>
    </row>
    <row r="14" spans="2:15" x14ac:dyDescent="0.15">
      <c r="F14" s="13" t="s">
        <v>30</v>
      </c>
      <c r="G14" s="47">
        <f t="array" ref="G14">SUM(IF(Discs!$C$2:$C$241=$F14,IF(Discs!E$2:$K$241=G$12,Discs!$F$2:$F$241,0),0))</f>
        <v>62</v>
      </c>
      <c r="H14" s="27">
        <f t="array" ref="H14">SUM(IF(Discs!$C$2:$C$241=$F14,IF(Discs!F$2:$K$241=H$12,Discs!$F$2:$F$241,0),0))</f>
        <v>53</v>
      </c>
      <c r="I14" s="27">
        <f t="array" ref="I14">SUM(IF(Discs!$C$2:$C$241=$F14,IF(Discs!G$2:$K$241=I$12,Discs!$F$2:$F$241,0),0))</f>
        <v>2</v>
      </c>
      <c r="J14" s="27">
        <f t="array" ref="J14">SUM(IF(Discs!$C$2:$C$241=$F14,IF(Discs!H$2:$K$241=J$12,Discs!$F$2:$F$241,0),0))</f>
        <v>8</v>
      </c>
      <c r="K14" s="27">
        <f t="array" ref="K14">SUM(IF(Discs!$C$2:$C$241=$F14,IF(Discs!I$2:$K$241=K$12,Discs!$F$2:$F$241,0),0))</f>
        <v>1</v>
      </c>
      <c r="L14" s="27">
        <f t="array" ref="L14">SUM(IF(Discs!$C$2:$C$241=$F14,IF(Discs!J$2:$K$241=L$12,Discs!$F$2:$F$241,0),0))</f>
        <v>6</v>
      </c>
      <c r="M14" s="48">
        <f t="array" ref="M14">SUM(IF(Discs!$C$2:$C$241=$F14,IF(Discs!$K$2:K$241=M$12,Discs!$F$2:$F$241,0),0))</f>
        <v>0</v>
      </c>
      <c r="N14" s="28">
        <f t="shared" si="2"/>
        <v>132</v>
      </c>
    </row>
    <row r="15" spans="2:15" x14ac:dyDescent="0.15">
      <c r="F15" s="13" t="s">
        <v>33</v>
      </c>
      <c r="G15" s="47">
        <f t="array" ref="G15">SUM(IF(Discs!$C$2:$C$241=$F15,IF(Discs!E$2:$K$241=G$12,Discs!$F$2:$F$241,0),0))</f>
        <v>40</v>
      </c>
      <c r="H15" s="27">
        <f t="array" ref="H15">SUM(IF(Discs!$C$2:$C$241=$F15,IF(Discs!F$2:$K$241=H$12,Discs!$F$2:$F$241,0),0))</f>
        <v>39</v>
      </c>
      <c r="I15" s="27">
        <f t="array" ref="I15">SUM(IF(Discs!$C$2:$C$241=$F15,IF(Discs!G$2:$K$241=I$12,Discs!$F$2:$F$241,0),0))</f>
        <v>2</v>
      </c>
      <c r="J15" s="27">
        <f t="array" ref="J15">SUM(IF(Discs!$C$2:$C$241=$F15,IF(Discs!H$2:$K$241=J$12,Discs!$F$2:$F$241,0),0))</f>
        <v>5</v>
      </c>
      <c r="K15" s="27">
        <f t="array" ref="K15">SUM(IF(Discs!$C$2:$C$241=$F15,IF(Discs!I$2:$K$241=K$12,Discs!$F$2:$F$241,0),0))</f>
        <v>1</v>
      </c>
      <c r="L15" s="27">
        <f t="array" ref="L15">SUM(IF(Discs!$C$2:$C$241=$F15,IF(Discs!J$2:$K$241=L$12,Discs!$F$2:$F$241,0),0))</f>
        <v>3</v>
      </c>
      <c r="M15" s="48">
        <f t="array" ref="M15">SUM(IF(Discs!$C$2:$C$241=$F15,IF(Discs!$K$2:K$241=M$12,Discs!$F$2:$F$241,0),0))</f>
        <v>1</v>
      </c>
      <c r="N15" s="28">
        <f t="shared" si="2"/>
        <v>91</v>
      </c>
    </row>
    <row r="16" spans="2:15" x14ac:dyDescent="0.15">
      <c r="F16" s="13" t="s">
        <v>68</v>
      </c>
      <c r="G16" s="47">
        <f t="array" ref="G16">SUM(IF(Discs!$C$2:$C$241=$F16,IF(Discs!E$2:$K$241=G$12,Discs!$F$2:$F$241,0),0))</f>
        <v>44</v>
      </c>
      <c r="H16" s="27">
        <f t="array" ref="H16">SUM(IF(Discs!$C$2:$C$241=$F16,IF(Discs!F$2:$K$241=H$12,Discs!$F$2:$F$241,0),0))</f>
        <v>33</v>
      </c>
      <c r="I16" s="27">
        <f t="array" ref="I16">SUM(IF(Discs!$C$2:$C$241=$F16,IF(Discs!G$2:$K$241=I$12,Discs!$F$2:$F$241,0),0))</f>
        <v>3</v>
      </c>
      <c r="J16" s="27">
        <f t="array" ref="J16">SUM(IF(Discs!$C$2:$C$241=$F16,IF(Discs!H$2:$K$241=J$12,Discs!$F$2:$F$241,0),0))</f>
        <v>3</v>
      </c>
      <c r="K16" s="27">
        <f t="array" ref="K16">SUM(IF(Discs!$C$2:$C$241=$F16,IF(Discs!I$2:$K$241=K$12,Discs!$F$2:$F$241,0),0))</f>
        <v>1</v>
      </c>
      <c r="L16" s="27">
        <f t="array" ref="L16">SUM(IF(Discs!$C$2:$C$241=$F16,IF(Discs!J$2:$K$241=L$12,Discs!$F$2:$F$241,0),0))</f>
        <v>6</v>
      </c>
      <c r="M16" s="48">
        <f t="array" ref="M16">SUM(IF(Discs!$C$2:$C$241=$F16,IF(Discs!$K$2:K$241=M$12,Discs!$F$2:$F$241,0),0))</f>
        <v>1</v>
      </c>
      <c r="N16" s="28">
        <f t="shared" si="2"/>
        <v>91</v>
      </c>
    </row>
    <row r="17" spans="2:15" x14ac:dyDescent="0.15">
      <c r="F17" s="13" t="s">
        <v>26</v>
      </c>
      <c r="G17" s="47">
        <f t="array" ref="G17">SUM(IF(Discs!$C$2:$C$241=$F17,IF(Discs!E$2:$K$241=G$12,Discs!$F$2:$F$241,0),0))</f>
        <v>41</v>
      </c>
      <c r="H17" s="27">
        <f t="array" ref="H17">SUM(IF(Discs!$C$2:$C$241=$F17,IF(Discs!F$2:$K$241=H$12,Discs!$F$2:$F$241,0),0))</f>
        <v>39</v>
      </c>
      <c r="I17" s="27">
        <f t="array" ref="I17">SUM(IF(Discs!$C$2:$C$241=$F17,IF(Discs!G$2:$K$241=I$12,Discs!$F$2:$F$241,0),0))</f>
        <v>3</v>
      </c>
      <c r="J17" s="27">
        <f t="array" ref="J17">SUM(IF(Discs!$C$2:$C$241=$F17,IF(Discs!H$2:$K$241=J$12,Discs!$F$2:$F$241,0),0))</f>
        <v>2</v>
      </c>
      <c r="K17" s="27">
        <f t="array" ref="K17">SUM(IF(Discs!$C$2:$C$241=$F17,IF(Discs!I$2:$K$241=K$12,Discs!$F$2:$F$241,0),0))</f>
        <v>0</v>
      </c>
      <c r="L17" s="27">
        <f t="array" ref="L17">SUM(IF(Discs!$C$2:$C$241=$F17,IF(Discs!J$2:$K$241=L$12,Discs!$F$2:$F$241,0),0))</f>
        <v>6</v>
      </c>
      <c r="M17" s="48">
        <f t="array" ref="M17">SUM(IF(Discs!$C$2:$C$241=$F17,IF(Discs!$K$2:K$241=M$12,Discs!$F$2:$F$241,0),0))</f>
        <v>1</v>
      </c>
      <c r="N17" s="28">
        <f t="shared" si="2"/>
        <v>92</v>
      </c>
    </row>
    <row r="18" spans="2:15" ht="14" thickBot="1" x14ac:dyDescent="0.2">
      <c r="F18" s="13" t="s">
        <v>577</v>
      </c>
      <c r="G18" s="49">
        <f t="array" ref="G18">SUM(IF(Discs!$C$2:$C$241=$F18,IF(Discs!E$2:$K$241=G$12,Discs!$F$2:$F$241,0),0))</f>
        <v>0</v>
      </c>
      <c r="H18" s="50">
        <f t="array" ref="H18">SUM(IF(Discs!$C$2:$C$241=$F18,IF(Discs!F$2:$K$241=H$12,Discs!$F$2:$F$241,0),0))</f>
        <v>0</v>
      </c>
      <c r="I18" s="50">
        <f t="array" ref="I18">SUM(IF(Discs!$C$2:$C$241=$F18,IF(Discs!G$2:$K$241=I$12,Discs!$F$2:$F$241,0),0))</f>
        <v>8</v>
      </c>
      <c r="J18" s="50">
        <f t="array" ref="J18">SUM(IF(Discs!$C$2:$C$241=$F18,IF(Discs!H$2:$K$241=J$12,Discs!$F$2:$F$241,0),0))</f>
        <v>0</v>
      </c>
      <c r="K18" s="50">
        <f t="array" ref="K18">SUM(IF(Discs!$C$2:$C$241=$F18,IF(Discs!I$2:$K$241=K$12,Discs!$F$2:$F$241,0),0))</f>
        <v>0</v>
      </c>
      <c r="L18" s="50">
        <f t="array" ref="L18">SUM(IF(Discs!$C$2:$C$241=$F18,IF(Discs!J$2:$K$241=L$12,Discs!$F$2:$F$241,0),0))</f>
        <v>0</v>
      </c>
      <c r="M18" s="51">
        <f t="array" ref="M18">SUM(IF(Discs!$C$2:$C$241=$F18,IF(Discs!$K$2:K$241=M$12,Discs!$F$2:$F$241,0),0))</f>
        <v>0</v>
      </c>
      <c r="N18" s="52">
        <f t="shared" si="2"/>
        <v>8</v>
      </c>
    </row>
    <row r="19" spans="2:15" ht="14" thickTop="1" x14ac:dyDescent="0.15">
      <c r="F19" s="13" t="s">
        <v>502</v>
      </c>
      <c r="G19" s="27">
        <f t="shared" ref="G19:N19" si="3">SUM(G13:G18)</f>
        <v>215</v>
      </c>
      <c r="H19" s="27">
        <f t="shared" si="3"/>
        <v>178</v>
      </c>
      <c r="I19" s="27">
        <f t="shared" si="3"/>
        <v>20</v>
      </c>
      <c r="J19" s="27">
        <f t="shared" si="3"/>
        <v>18</v>
      </c>
      <c r="K19" s="27">
        <f t="shared" si="3"/>
        <v>4</v>
      </c>
      <c r="L19" s="27">
        <f t="shared" si="3"/>
        <v>24</v>
      </c>
      <c r="M19" s="27">
        <f t="shared" si="3"/>
        <v>4</v>
      </c>
      <c r="N19" s="28">
        <f t="shared" si="3"/>
        <v>463</v>
      </c>
      <c r="O19" t="s">
        <v>583</v>
      </c>
    </row>
    <row r="20" spans="2:15" x14ac:dyDescent="0.15">
      <c r="F20" s="13"/>
      <c r="G20" s="27"/>
      <c r="H20" s="27"/>
      <c r="I20" s="27"/>
      <c r="J20" s="27"/>
      <c r="K20" s="27"/>
      <c r="L20" s="27"/>
      <c r="M20" s="27"/>
    </row>
    <row r="21" spans="2:15" x14ac:dyDescent="0.15">
      <c r="F21" s="13"/>
      <c r="G21" s="27"/>
      <c r="H21" s="27"/>
      <c r="I21" s="27"/>
      <c r="J21" s="27"/>
      <c r="K21" s="27"/>
      <c r="L21" s="27"/>
      <c r="M21" s="27"/>
    </row>
    <row r="22" spans="2:15" x14ac:dyDescent="0.15">
      <c r="B22" s="43" t="s">
        <v>573</v>
      </c>
      <c r="F22" s="14"/>
      <c r="G22" s="14" t="s">
        <v>7</v>
      </c>
      <c r="H22" s="13" t="s">
        <v>176</v>
      </c>
      <c r="I22" s="13" t="s">
        <v>22</v>
      </c>
      <c r="J22" s="13" t="s">
        <v>257</v>
      </c>
      <c r="K22" s="13" t="s">
        <v>355</v>
      </c>
      <c r="L22" s="13" t="s">
        <v>354</v>
      </c>
      <c r="M22" s="13" t="s">
        <v>356</v>
      </c>
      <c r="N22" s="13" t="s">
        <v>502</v>
      </c>
    </row>
    <row r="23" spans="2:15" x14ac:dyDescent="0.15">
      <c r="F23" s="14" t="s">
        <v>3</v>
      </c>
      <c r="G23" s="44">
        <f t="array" ref="G23">SUM(IF(Discs!$C$2:$C$241=$F23,IF(Discs!E$2:$K$241=G$22,Discs!$G$2:$G$241,0),0))</f>
        <v>9</v>
      </c>
      <c r="H23" s="45">
        <f t="array" ref="H23">SUM(IF(Discs!$C$2:$C$241=$F23,IF(Discs!F$2:$K$241=H$22,Discs!$G$2:$G$241,0),0))</f>
        <v>0</v>
      </c>
      <c r="I23" s="45">
        <f t="array" ref="I23">SUM(IF(Discs!$C$2:$C$241=$F23,IF(Discs!G$2:$K$241=I$22,Discs!$G$2:$G$241,0),0))</f>
        <v>1</v>
      </c>
      <c r="J23" s="45">
        <f t="array" ref="J23">SUM(IF(Discs!$C$2:$C$241=$F23,IF(Discs!H$2:$K$241=J$22,Discs!$G$2:$G$241,0),0))</f>
        <v>0</v>
      </c>
      <c r="K23" s="45">
        <f t="array" ref="K23">SUM(IF(Discs!$C$2:$C$241=$F23,IF(Discs!I$2:$K$241=K$22,Discs!$G$2:$G$241,0),0))</f>
        <v>0</v>
      </c>
      <c r="L23" s="45">
        <f t="array" ref="L23">SUM(IF(Discs!$C$2:$C$241=$F23,IF(Discs!J$2:$K$241=L$22,Discs!$G$2:$G$241,0),0))</f>
        <v>2</v>
      </c>
      <c r="M23" s="46">
        <f t="array" ref="M23">SUM(IF(Discs!$C$2:$C$241=$F23,IF(Discs!$K$2:K$241=M$22,Discs!$G$2:$G$241,0),0))</f>
        <v>0</v>
      </c>
      <c r="N23" s="28">
        <f t="shared" ref="N23:N28" si="4">SUM(G23:M23)</f>
        <v>12</v>
      </c>
    </row>
    <row r="24" spans="2:15" x14ac:dyDescent="0.15">
      <c r="F24" s="13" t="s">
        <v>30</v>
      </c>
      <c r="G24" s="47">
        <f t="array" ref="G24">SUM(IF(Discs!$C$2:$C$241=$F24,IF(Discs!E$2:$K$241=G$22,Discs!$G$2:$G$241,0),0))</f>
        <v>60</v>
      </c>
      <c r="H24" s="27">
        <f t="array" ref="H24">SUM(IF(Discs!$C$2:$C$241=$F24,IF(Discs!F$2:$K$241=H$22,Discs!$G$2:$G$241,0),0))</f>
        <v>9</v>
      </c>
      <c r="I24" s="27">
        <f t="array" ref="I24">SUM(IF(Discs!$C$2:$C$241=$F24,IF(Discs!G$2:$K$241=I$22,Discs!$G$2:$G$241,0),0))</f>
        <v>2</v>
      </c>
      <c r="J24" s="27">
        <f t="array" ref="J24">SUM(IF(Discs!$C$2:$C$241=$F24,IF(Discs!H$2:$K$241=J$22,Discs!$G$2:$G$241,0),0))</f>
        <v>0</v>
      </c>
      <c r="K24" s="27">
        <f t="array" ref="K24">SUM(IF(Discs!$C$2:$C$241=$F24,IF(Discs!I$2:$K$241=K$22,Discs!$G$2:$G$241,0),0))</f>
        <v>3</v>
      </c>
      <c r="L24" s="27">
        <f t="array" ref="L24">SUM(IF(Discs!$C$2:$C$241=$F24,IF(Discs!J$2:$K$241=L$22,Discs!$G$2:$G$241,0),0))</f>
        <v>24</v>
      </c>
      <c r="M24" s="48">
        <f t="array" ref="M24">SUM(IF(Discs!$C$2:$C$241=$F24,IF(Discs!$K$2:K$241=M$22,Discs!$G$2:$G$241,0),0))</f>
        <v>0</v>
      </c>
      <c r="N24" s="28">
        <f t="shared" si="4"/>
        <v>98</v>
      </c>
    </row>
    <row r="25" spans="2:15" x14ac:dyDescent="0.15">
      <c r="F25" s="13" t="s">
        <v>33</v>
      </c>
      <c r="G25" s="47">
        <f t="array" ref="G25">SUM(IF(Discs!$C$2:$C$241=$F25,IF(Discs!E$2:$K$241=G$22,Discs!$G$2:$G$241,0),0))</f>
        <v>43</v>
      </c>
      <c r="H25" s="27">
        <f t="array" ref="H25">SUM(IF(Discs!$C$2:$C$241=$F25,IF(Discs!F$2:$K$241=H$22,Discs!$G$2:$G$241,0),0))</f>
        <v>12</v>
      </c>
      <c r="I25" s="27">
        <f t="array" ref="I25">SUM(IF(Discs!$C$2:$C$241=$F25,IF(Discs!G$2:$K$241=I$22,Discs!$G$2:$G$241,0),0))</f>
        <v>2</v>
      </c>
      <c r="J25" s="27">
        <f t="array" ref="J25">SUM(IF(Discs!$C$2:$C$241=$F25,IF(Discs!H$2:$K$241=J$22,Discs!$G$2:$G$241,0),0))</f>
        <v>1</v>
      </c>
      <c r="K25" s="27">
        <f t="array" ref="K25">SUM(IF(Discs!$C$2:$C$241=$F25,IF(Discs!I$2:$K$241=K$22,Discs!$G$2:$G$241,0),0))</f>
        <v>8</v>
      </c>
      <c r="L25" s="27">
        <f t="array" ref="L25">SUM(IF(Discs!$C$2:$C$241=$F25,IF(Discs!J$2:$K$241=L$22,Discs!$G$2:$G$241,0),0))</f>
        <v>13</v>
      </c>
      <c r="M25" s="48">
        <f t="array" ref="M25">SUM(IF(Discs!$C$2:$C$241=$F25,IF(Discs!$K$2:K$241=M$22,Discs!$G$2:$G$241,0),0))</f>
        <v>3</v>
      </c>
      <c r="N25" s="28">
        <f t="shared" si="4"/>
        <v>82</v>
      </c>
    </row>
    <row r="26" spans="2:15" x14ac:dyDescent="0.15">
      <c r="F26" s="13" t="s">
        <v>68</v>
      </c>
      <c r="G26" s="47">
        <f t="array" ref="G26">SUM(IF(Discs!$C$2:$C$241=$F26,IF(Discs!E$2:$K$241=G$22,Discs!$G$2:$G$241,0),0))</f>
        <v>14</v>
      </c>
      <c r="H26" s="27">
        <f t="array" ref="H26">SUM(IF(Discs!$C$2:$C$241=$F26,IF(Discs!F$2:$K$241=H$22,Discs!$G$2:$G$241,0),0))</f>
        <v>1</v>
      </c>
      <c r="I26" s="27">
        <f t="array" ref="I26">SUM(IF(Discs!$C$2:$C$241=$F26,IF(Discs!G$2:$K$241=I$22,Discs!$G$2:$G$241,0),0))</f>
        <v>8</v>
      </c>
      <c r="J26" s="27">
        <f t="array" ref="J26">SUM(IF(Discs!$C$2:$C$241=$F26,IF(Discs!H$2:$K$241=J$22,Discs!$G$2:$G$241,0),0))</f>
        <v>0</v>
      </c>
      <c r="K26" s="27">
        <f t="array" ref="K26">SUM(IF(Discs!$C$2:$C$241=$F26,IF(Discs!I$2:$K$241=K$22,Discs!$G$2:$G$241,0),0))</f>
        <v>0</v>
      </c>
      <c r="L26" s="27">
        <f t="array" ref="L26">SUM(IF(Discs!$C$2:$C$241=$F26,IF(Discs!J$2:$K$241=L$22,Discs!$G$2:$G$241,0),0))</f>
        <v>6</v>
      </c>
      <c r="M26" s="48">
        <f t="array" ref="M26">SUM(IF(Discs!$C$2:$C$241=$F26,IF(Discs!$K$2:K$241=M$22,Discs!$G$2:$G$241,0),0))</f>
        <v>0</v>
      </c>
      <c r="N26" s="28">
        <f t="shared" si="4"/>
        <v>29</v>
      </c>
    </row>
    <row r="27" spans="2:15" x14ac:dyDescent="0.15">
      <c r="F27" s="13" t="s">
        <v>26</v>
      </c>
      <c r="G27" s="47">
        <f t="array" ref="G27">SUM(IF(Discs!$C$2:$C$241=$F27,IF(Discs!E$2:$K$241=G$22,Discs!$G$2:$G$241,0),0))</f>
        <v>22</v>
      </c>
      <c r="H27" s="27">
        <f t="array" ref="H27">SUM(IF(Discs!$C$2:$C$241=$F27,IF(Discs!F$2:$K$241=H$22,Discs!$G$2:$G$241,0),0))</f>
        <v>0</v>
      </c>
      <c r="I27" s="27">
        <f t="array" ref="I27">SUM(IF(Discs!$C$2:$C$241=$F27,IF(Discs!G$2:$K$241=I$22,Discs!$G$2:$G$241,0),0))</f>
        <v>2</v>
      </c>
      <c r="J27" s="27">
        <f t="array" ref="J27">SUM(IF(Discs!$C$2:$C$241=$F27,IF(Discs!H$2:$K$241=J$22,Discs!$G$2:$G$241,0),0))</f>
        <v>0</v>
      </c>
      <c r="K27" s="27">
        <f t="array" ref="K27">SUM(IF(Discs!$C$2:$C$241=$F27,IF(Discs!I$2:$K$241=K$22,Discs!$G$2:$G$241,0),0))</f>
        <v>0</v>
      </c>
      <c r="L27" s="27">
        <f t="array" ref="L27">SUM(IF(Discs!$C$2:$C$241=$F27,IF(Discs!J$2:$K$241=L$22,Discs!$G$2:$G$241,0),0))</f>
        <v>12</v>
      </c>
      <c r="M27" s="48">
        <f t="array" ref="M27">SUM(IF(Discs!$C$2:$C$241=$F27,IF(Discs!$K$2:K$241=M$22,Discs!$G$2:$G$241,0),0))</f>
        <v>1</v>
      </c>
      <c r="N27" s="28">
        <f t="shared" si="4"/>
        <v>37</v>
      </c>
    </row>
    <row r="28" spans="2:15" ht="14" thickBot="1" x14ac:dyDescent="0.2">
      <c r="F28" s="13" t="s">
        <v>577</v>
      </c>
      <c r="G28" s="49">
        <f t="array" ref="G28">SUM(IF(Discs!$C$2:$C$241=$F28,IF(Discs!E$2:$K$241=G$22,Discs!$G$2:$G$241,0),0))</f>
        <v>0</v>
      </c>
      <c r="H28" s="50">
        <f t="array" ref="H28">SUM(IF(Discs!$C$2:$C$241=$F28,IF(Discs!F$2:$K$241=H$22,Discs!$G$2:$G$241,0),0))</f>
        <v>0</v>
      </c>
      <c r="I28" s="50">
        <f t="array" ref="I28">SUM(IF(Discs!$C$2:$C$241=$F28,IF(Discs!G$2:$K$241=I$22,Discs!$G$2:$G$241,0),0))</f>
        <v>2</v>
      </c>
      <c r="J28" s="50">
        <f t="array" ref="J28">SUM(IF(Discs!$C$2:$C$241=$F28,IF(Discs!H$2:$K$241=J$22,Discs!$G$2:$G$241,0),0))</f>
        <v>0</v>
      </c>
      <c r="K28" s="50">
        <f t="array" ref="K28">SUM(IF(Discs!$C$2:$C$241=$F28,IF(Discs!I$2:$K$241=K$22,Discs!$G$2:$G$241,0),0))</f>
        <v>0</v>
      </c>
      <c r="L28" s="50">
        <f t="array" ref="L28">SUM(IF(Discs!$C$2:$C$241=$F28,IF(Discs!J$2:$K$241=L$22,Discs!$G$2:$G$241,0),0))</f>
        <v>0</v>
      </c>
      <c r="M28" s="51">
        <f t="array" ref="M28">SUM(IF(Discs!$C$2:$C$241=$F28,IF(Discs!$K$2:K$241=M$22,Discs!$G$2:$G$241,0),0))</f>
        <v>0</v>
      </c>
      <c r="N28" s="52">
        <f t="shared" si="4"/>
        <v>2</v>
      </c>
    </row>
    <row r="29" spans="2:15" ht="14" thickTop="1" x14ac:dyDescent="0.15">
      <c r="F29" s="13" t="s">
        <v>502</v>
      </c>
      <c r="G29" s="27">
        <f t="shared" ref="G29:N29" si="5">SUM(G23:G28)</f>
        <v>148</v>
      </c>
      <c r="H29" s="27">
        <f t="shared" si="5"/>
        <v>22</v>
      </c>
      <c r="I29" s="27">
        <f t="shared" si="5"/>
        <v>17</v>
      </c>
      <c r="J29" s="27">
        <f t="shared" si="5"/>
        <v>1</v>
      </c>
      <c r="K29" s="27">
        <f t="shared" si="5"/>
        <v>11</v>
      </c>
      <c r="L29" s="27">
        <f t="shared" si="5"/>
        <v>57</v>
      </c>
      <c r="M29" s="27">
        <f t="shared" si="5"/>
        <v>4</v>
      </c>
      <c r="N29" s="28">
        <f t="shared" si="5"/>
        <v>260</v>
      </c>
      <c r="O29" t="s">
        <v>588</v>
      </c>
    </row>
    <row r="30" spans="2:15" x14ac:dyDescent="0.15">
      <c r="O30" t="s">
        <v>605</v>
      </c>
    </row>
    <row r="32" spans="2:15" x14ac:dyDescent="0.15">
      <c r="N32" s="68">
        <f>N19-N29</f>
        <v>203</v>
      </c>
      <c r="O32" t="s">
        <v>606</v>
      </c>
    </row>
    <row r="35" spans="2:14" x14ac:dyDescent="0.15">
      <c r="B35" t="s">
        <v>589</v>
      </c>
      <c r="F35" s="54"/>
      <c r="G35" s="13" t="s">
        <v>436</v>
      </c>
      <c r="H35" s="13" t="s">
        <v>10</v>
      </c>
      <c r="I35" s="13" t="s">
        <v>4</v>
      </c>
      <c r="J35" s="13" t="s">
        <v>17</v>
      </c>
      <c r="K35" s="49" t="s">
        <v>502</v>
      </c>
    </row>
    <row r="36" spans="2:14" x14ac:dyDescent="0.15">
      <c r="B36" t="s">
        <v>578</v>
      </c>
      <c r="F36" s="14" t="s">
        <v>3</v>
      </c>
      <c r="G36" s="44">
        <f>SUMIFS(Flats!$N$2:$N$101,Flats!$E$2:$E$101,G$35,Flats!$H$2:$H$101,$F36)</f>
        <v>25</v>
      </c>
      <c r="H36" s="45">
        <f>SUMIFS(Flats!$N$2:$N$101,Flats!$E$2:$E$101,H$35,Flats!$H$2:$H$101,$F36)</f>
        <v>18</v>
      </c>
      <c r="I36" s="45">
        <f>SUMIFS(Flats!$N$2:$N$101,Flats!$E$2:$E$101,I$35,Flats!$H$2:$H$101,$F36)</f>
        <v>37</v>
      </c>
      <c r="J36" s="46">
        <f>SUMIFS(Flats!$N$2:$N$101,Flats!$E$2:$E$101,J$35,Flats!$H$2:$H$101,$F36)</f>
        <v>4</v>
      </c>
      <c r="K36" s="13">
        <f>SUM(G36:J36)</f>
        <v>84</v>
      </c>
    </row>
    <row r="37" spans="2:14" x14ac:dyDescent="0.15">
      <c r="F37" s="13" t="s">
        <v>30</v>
      </c>
      <c r="G37" s="47">
        <f>SUMIFS(Flats!$N$2:$N$101,Flats!$E$2:$E$101,G$35,Flats!$H$2:$H$101,$F37)</f>
        <v>48</v>
      </c>
      <c r="H37" s="27">
        <f>SUMIFS(Flats!$N$2:$N$101,Flats!$E$2:$E$101,H$35,Flats!$H$2:$H$101,$F37)</f>
        <v>102</v>
      </c>
      <c r="I37" s="27">
        <f>SUMIFS(Flats!$N$2:$N$101,Flats!$E$2:$E$101,I$35,Flats!$H$2:$H$101,$F37)</f>
        <v>29</v>
      </c>
      <c r="J37" s="48">
        <f>SUMIFS(Flats!$N$2:$N$101,Flats!$E$2:$E$101,J$35,Flats!$H$2:$H$101,$F37)</f>
        <v>41</v>
      </c>
      <c r="K37" s="13">
        <f t="shared" ref="K37:K41" si="6">SUM(G37:J37)</f>
        <v>220</v>
      </c>
    </row>
    <row r="38" spans="2:14" x14ac:dyDescent="0.15">
      <c r="F38" s="13" t="s">
        <v>33</v>
      </c>
      <c r="G38" s="47">
        <f>SUMIFS(Flats!$N$2:$N$101,Flats!$E$2:$E$101,G$35,Flats!$H$2:$H$101,$F38)</f>
        <v>40</v>
      </c>
      <c r="H38" s="27">
        <f>SUMIFS(Flats!$N$2:$N$101,Flats!$E$2:$E$101,H$35,Flats!$H$2:$H$101,$F38)</f>
        <v>67</v>
      </c>
      <c r="I38" s="27">
        <f>SUMIFS(Flats!$N$2:$N$101,Flats!$E$2:$E$101,I$35,Flats!$H$2:$H$101,$F38)</f>
        <v>10</v>
      </c>
      <c r="J38" s="48">
        <f>SUMIFS(Flats!$N$2:$N$101,Flats!$E$2:$E$101,J$35,Flats!$H$2:$H$101,$F38)</f>
        <v>45</v>
      </c>
      <c r="K38" s="13">
        <f t="shared" si="6"/>
        <v>162</v>
      </c>
    </row>
    <row r="39" spans="2:14" x14ac:dyDescent="0.15">
      <c r="F39" s="13" t="s">
        <v>68</v>
      </c>
      <c r="G39" s="47">
        <f>SUMIFS(Flats!$N$2:$N$101,Flats!$E$2:$E$101,G$35,Flats!$H$2:$H$101,$F39)</f>
        <v>84</v>
      </c>
      <c r="H39" s="27">
        <f>SUMIFS(Flats!$N$2:$N$101,Flats!$E$2:$E$101,H$35,Flats!$H$2:$H$101,$F39)</f>
        <v>93</v>
      </c>
      <c r="I39" s="27">
        <f>SUMIFS(Flats!$N$2:$N$101,Flats!$E$2:$E$101,I$35,Flats!$H$2:$H$101,$F39)</f>
        <v>40</v>
      </c>
      <c r="J39" s="48">
        <f>SUMIFS(Flats!$N$2:$N$101,Flats!$E$2:$E$101,J$35,Flats!$H$2:$H$101,$F39)</f>
        <v>20</v>
      </c>
      <c r="K39" s="13">
        <f t="shared" si="6"/>
        <v>237</v>
      </c>
    </row>
    <row r="40" spans="2:14" x14ac:dyDescent="0.15">
      <c r="F40" s="13" t="s">
        <v>26</v>
      </c>
      <c r="G40" s="47">
        <f>SUMIFS(Flats!$N$2:$N$101,Flats!$E$2:$E$101,G$35,Flats!$H$2:$H$101,$F40)</f>
        <v>61</v>
      </c>
      <c r="H40" s="27">
        <f>SUMIFS(Flats!$N$2:$N$101,Flats!$E$2:$E$101,H$35,Flats!$H$2:$H$101,$F40)</f>
        <v>56</v>
      </c>
      <c r="I40" s="27">
        <f>SUMIFS(Flats!$N$2:$N$101,Flats!$E$2:$E$101,I$35,Flats!$H$2:$H$101,$F40)</f>
        <v>60</v>
      </c>
      <c r="J40" s="48">
        <f>SUMIFS(Flats!$N$2:$N$101,Flats!$E$2:$E$101,J$35,Flats!$H$2:$H$101,$F40)</f>
        <v>34</v>
      </c>
      <c r="K40" s="13">
        <f t="shared" si="6"/>
        <v>211</v>
      </c>
    </row>
    <row r="41" spans="2:14" ht="14" thickBot="1" x14ac:dyDescent="0.2">
      <c r="F41" s="50" t="s">
        <v>577</v>
      </c>
      <c r="G41" s="49">
        <f>SUMIFS(Flats!$N$2:$N$101,Flats!$E$2:$E$101,G$35,Flats!$H$2:$H$101,$F41)</f>
        <v>0</v>
      </c>
      <c r="H41" s="50">
        <f>SUMIFS(Flats!$N$2:$N$101,Flats!$E$2:$E$101,H$35,Flats!$H$2:$H$101,$F41)</f>
        <v>45</v>
      </c>
      <c r="I41" s="50">
        <f>SUMIFS(Flats!$N$2:$N$101,Flats!$E$2:$E$101,I$35,Flats!$H$2:$H$101,$F41)</f>
        <v>21</v>
      </c>
      <c r="J41" s="51">
        <f>SUMIFS(Flats!$N$2:$N$101,Flats!$E$2:$E$101,J$35,Flats!$H$2:$H$101,$F41)</f>
        <v>42</v>
      </c>
      <c r="K41" s="13">
        <f t="shared" si="6"/>
        <v>108</v>
      </c>
    </row>
    <row r="42" spans="2:14" ht="14" thickBot="1" x14ac:dyDescent="0.2">
      <c r="F42" s="48" t="s">
        <v>502</v>
      </c>
      <c r="G42" s="13">
        <f>SUM(G36:G41)</f>
        <v>258</v>
      </c>
      <c r="H42" s="13">
        <f>SUM(H36:H41)</f>
        <v>381</v>
      </c>
      <c r="I42" s="13">
        <f>SUM(I36:I41)</f>
        <v>197</v>
      </c>
      <c r="J42" s="13">
        <f>SUM(J36:J41)</f>
        <v>186</v>
      </c>
      <c r="K42" s="53">
        <f>SUM(G42:J42)</f>
        <v>1022</v>
      </c>
      <c r="M42" s="24">
        <f>Distributions!$E$31</f>
        <v>560000</v>
      </c>
      <c r="N42" t="s">
        <v>690</v>
      </c>
    </row>
    <row r="43" spans="2:14" ht="14" thickBot="1" x14ac:dyDescent="0.2">
      <c r="F43" s="338" t="s">
        <v>714</v>
      </c>
      <c r="G43" s="13">
        <f>G42+E67*5</f>
        <v>428</v>
      </c>
      <c r="H43" s="13">
        <f>H42+E67*2+E68*2</f>
        <v>497</v>
      </c>
      <c r="I43" s="13">
        <f>I42+E67+E68</f>
        <v>255</v>
      </c>
      <c r="J43" s="28">
        <f>J42+E68</f>
        <v>210</v>
      </c>
      <c r="K43" s="53">
        <f>SUM(G43:J43)</f>
        <v>1390</v>
      </c>
      <c r="M43" s="55">
        <f>K42/M42</f>
        <v>1.825E-3</v>
      </c>
      <c r="N43" t="s">
        <v>691</v>
      </c>
    </row>
    <row r="44" spans="2:14" x14ac:dyDescent="0.15">
      <c r="K44" s="55"/>
      <c r="M44" s="55">
        <f>K43/M42</f>
        <v>2.4821428571428572E-3</v>
      </c>
      <c r="N44" t="s">
        <v>715</v>
      </c>
    </row>
    <row r="46" spans="2:14" x14ac:dyDescent="0.15">
      <c r="F46" s="67"/>
      <c r="M46" s="343">
        <f>M42/K43</f>
        <v>402.87769784172662</v>
      </c>
      <c r="N46" s="333" t="s">
        <v>743</v>
      </c>
    </row>
    <row r="47" spans="2:14" x14ac:dyDescent="0.15">
      <c r="F47" s="67"/>
    </row>
    <row r="48" spans="2:14" x14ac:dyDescent="0.15">
      <c r="F48" s="67"/>
    </row>
    <row r="49" spans="5:13" x14ac:dyDescent="0.15">
      <c r="F49" s="67"/>
    </row>
    <row r="50" spans="5:13" x14ac:dyDescent="0.15">
      <c r="F50" s="67"/>
    </row>
    <row r="51" spans="5:13" x14ac:dyDescent="0.15">
      <c r="F51" s="332"/>
    </row>
    <row r="52" spans="5:13" x14ac:dyDescent="0.15">
      <c r="F52" s="67"/>
    </row>
    <row r="53" spans="5:13" x14ac:dyDescent="0.15">
      <c r="F53" s="67"/>
    </row>
    <row r="54" spans="5:13" x14ac:dyDescent="0.15">
      <c r="F54" s="67"/>
    </row>
    <row r="55" spans="5:13" x14ac:dyDescent="0.15">
      <c r="F55" s="339" t="s">
        <v>726</v>
      </c>
    </row>
    <row r="56" spans="5:13" x14ac:dyDescent="0.15">
      <c r="F56" s="67"/>
    </row>
    <row r="57" spans="5:13" x14ac:dyDescent="0.15">
      <c r="E57" s="157" t="s">
        <v>725</v>
      </c>
      <c r="F57" s="157" t="s">
        <v>724</v>
      </c>
      <c r="G57" s="157" t="s">
        <v>579</v>
      </c>
      <c r="H57" s="157" t="s">
        <v>433</v>
      </c>
      <c r="J57" s="333"/>
      <c r="K57" s="333"/>
      <c r="L57" s="333"/>
      <c r="M57" s="333"/>
    </row>
    <row r="58" spans="5:13" x14ac:dyDescent="0.15">
      <c r="E58" s="13">
        <v>5</v>
      </c>
      <c r="F58" s="341">
        <v>95100</v>
      </c>
      <c r="G58" s="341" t="s">
        <v>30</v>
      </c>
      <c r="H58" s="341" t="s">
        <v>718</v>
      </c>
    </row>
    <row r="59" spans="5:13" x14ac:dyDescent="0.15">
      <c r="E59" s="13">
        <v>3</v>
      </c>
      <c r="F59" s="341">
        <v>95101</v>
      </c>
      <c r="G59" s="341" t="s">
        <v>30</v>
      </c>
      <c r="H59" s="341" t="s">
        <v>722</v>
      </c>
    </row>
    <row r="60" spans="5:13" x14ac:dyDescent="0.15">
      <c r="E60" s="13">
        <v>6</v>
      </c>
      <c r="F60" s="341">
        <v>95102</v>
      </c>
      <c r="G60" s="341" t="s">
        <v>68</v>
      </c>
      <c r="H60" s="341" t="s">
        <v>717</v>
      </c>
      <c r="I60" s="333"/>
    </row>
    <row r="61" spans="5:13" x14ac:dyDescent="0.15">
      <c r="E61" s="13">
        <v>4</v>
      </c>
      <c r="F61" s="341">
        <v>95103</v>
      </c>
      <c r="G61" s="341" t="s">
        <v>68</v>
      </c>
      <c r="H61" s="341" t="s">
        <v>720</v>
      </c>
    </row>
    <row r="62" spans="5:13" x14ac:dyDescent="0.15">
      <c r="E62" s="13">
        <v>5</v>
      </c>
      <c r="F62" s="341">
        <v>95104</v>
      </c>
      <c r="G62" s="341" t="s">
        <v>26</v>
      </c>
      <c r="H62" s="341" t="s">
        <v>719</v>
      </c>
      <c r="I62" s="333"/>
    </row>
    <row r="63" spans="5:13" x14ac:dyDescent="0.15">
      <c r="E63" s="13">
        <v>4</v>
      </c>
      <c r="F63" s="341">
        <v>95105</v>
      </c>
      <c r="G63" s="341" t="s">
        <v>26</v>
      </c>
      <c r="H63" s="341" t="s">
        <v>721</v>
      </c>
    </row>
    <row r="64" spans="5:13" x14ac:dyDescent="0.15">
      <c r="E64" s="13">
        <v>4</v>
      </c>
      <c r="F64" s="341">
        <v>95106</v>
      </c>
      <c r="G64" s="341" t="s">
        <v>3</v>
      </c>
      <c r="H64" s="341" t="s">
        <v>716</v>
      </c>
    </row>
    <row r="65" spans="5:10" x14ac:dyDescent="0.15">
      <c r="E65" s="13">
        <v>3</v>
      </c>
      <c r="F65" s="341">
        <v>95107</v>
      </c>
      <c r="G65" s="341" t="s">
        <v>33</v>
      </c>
      <c r="H65" s="341" t="s">
        <v>723</v>
      </c>
      <c r="J65" s="333" t="s">
        <v>727</v>
      </c>
    </row>
    <row r="66" spans="5:10" x14ac:dyDescent="0.15">
      <c r="F66" s="332"/>
      <c r="G66" s="332"/>
      <c r="H66" s="333"/>
      <c r="J66" s="333"/>
    </row>
    <row r="67" spans="5:10" x14ac:dyDescent="0.15">
      <c r="E67">
        <f>SUM(E58:E65)</f>
        <v>34</v>
      </c>
      <c r="F67" t="s">
        <v>738</v>
      </c>
      <c r="J67" t="s">
        <v>737</v>
      </c>
    </row>
    <row r="68" spans="5:10" x14ac:dyDescent="0.15">
      <c r="E68">
        <v>24</v>
      </c>
      <c r="F68" s="333" t="s">
        <v>731</v>
      </c>
      <c r="J68" s="333" t="s">
        <v>730</v>
      </c>
    </row>
  </sheetData>
  <sortState xmlns:xlrd2="http://schemas.microsoft.com/office/spreadsheetml/2017/richdata2" ref="E58:H65">
    <sortCondition ref="F58:F65"/>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N1048537"/>
  <sheetViews>
    <sheetView tabSelected="1" showRuler="0" workbookViewId="0">
      <selection activeCell="G41" sqref="G41"/>
    </sheetView>
  </sheetViews>
  <sheetFormatPr baseColWidth="10" defaultRowHeight="13" x14ac:dyDescent="0.15"/>
  <cols>
    <col min="1" max="7" width="12.83203125" customWidth="1"/>
    <col min="8" max="8" width="13.5" customWidth="1"/>
    <col min="9" max="11" width="12.83203125" customWidth="1"/>
    <col min="12" max="12" width="13.6640625" customWidth="1"/>
    <col min="13" max="16" width="12.83203125" customWidth="1"/>
  </cols>
  <sheetData>
    <row r="2" spans="2:11" x14ac:dyDescent="0.15">
      <c r="C2" t="s">
        <v>507</v>
      </c>
      <c r="G2" t="s">
        <v>508</v>
      </c>
      <c r="K2" s="333" t="s">
        <v>654</v>
      </c>
    </row>
    <row r="3" spans="2:11" x14ac:dyDescent="0.15">
      <c r="K3" t="s">
        <v>655</v>
      </c>
    </row>
    <row r="4" spans="2:11" x14ac:dyDescent="0.15">
      <c r="B4" s="30">
        <v>8</v>
      </c>
      <c r="C4" s="333" t="s">
        <v>503</v>
      </c>
      <c r="F4">
        <v>12</v>
      </c>
      <c r="G4" s="333" t="s">
        <v>505</v>
      </c>
      <c r="K4" t="s">
        <v>522</v>
      </c>
    </row>
    <row r="5" spans="2:11" x14ac:dyDescent="0.15">
      <c r="B5">
        <v>10</v>
      </c>
      <c r="C5" t="s">
        <v>504</v>
      </c>
      <c r="F5">
        <v>10</v>
      </c>
      <c r="G5" t="s">
        <v>504</v>
      </c>
      <c r="K5" t="s">
        <v>523</v>
      </c>
    </row>
    <row r="6" spans="2:11" ht="14" thickBot="1" x14ac:dyDescent="0.2">
      <c r="B6" s="20">
        <f>320000/B8/B4/B5</f>
        <v>500</v>
      </c>
      <c r="C6" s="20" t="s">
        <v>608</v>
      </c>
      <c r="D6" s="20"/>
      <c r="E6" s="22"/>
      <c r="F6" s="20">
        <v>500</v>
      </c>
      <c r="G6" s="20" t="s">
        <v>608</v>
      </c>
      <c r="H6" s="20"/>
      <c r="K6" t="s">
        <v>609</v>
      </c>
    </row>
    <row r="7" spans="2:11" x14ac:dyDescent="0.15">
      <c r="B7" s="161">
        <f>B4*B5*B6</f>
        <v>40000</v>
      </c>
      <c r="C7" t="s">
        <v>688</v>
      </c>
      <c r="E7" s="21"/>
      <c r="F7" s="161">
        <f>F4*F5*F6</f>
        <v>60000</v>
      </c>
      <c r="G7" t="s">
        <v>687</v>
      </c>
      <c r="K7" t="s">
        <v>656</v>
      </c>
    </row>
    <row r="8" spans="2:11" ht="14" thickBot="1" x14ac:dyDescent="0.2">
      <c r="B8" s="317">
        <v>8</v>
      </c>
      <c r="C8" s="340" t="s">
        <v>735</v>
      </c>
      <c r="D8" s="318"/>
      <c r="E8" s="21"/>
      <c r="F8" s="318">
        <v>4</v>
      </c>
      <c r="G8" s="340" t="s">
        <v>734</v>
      </c>
      <c r="H8" s="318"/>
      <c r="K8" s="333" t="s">
        <v>732</v>
      </c>
    </row>
    <row r="9" spans="2:11" ht="14" thickTop="1" x14ac:dyDescent="0.15">
      <c r="B9" s="161">
        <f>B7*B8</f>
        <v>320000</v>
      </c>
      <c r="C9" t="s">
        <v>532</v>
      </c>
      <c r="F9" s="161">
        <f>F7*F8</f>
        <v>240000</v>
      </c>
      <c r="G9" t="s">
        <v>533</v>
      </c>
      <c r="K9" s="333" t="s">
        <v>733</v>
      </c>
    </row>
    <row r="11" spans="2:11" x14ac:dyDescent="0.15">
      <c r="B11" s="30"/>
      <c r="K11" t="s">
        <v>614</v>
      </c>
    </row>
    <row r="12" spans="2:11" ht="14" thickBot="1" x14ac:dyDescent="0.2">
      <c r="B12" s="30"/>
      <c r="D12" s="20" t="s">
        <v>517</v>
      </c>
      <c r="F12" s="23" t="s">
        <v>436</v>
      </c>
      <c r="G12" s="23" t="s">
        <v>10</v>
      </c>
      <c r="H12" s="23" t="s">
        <v>4</v>
      </c>
      <c r="I12" s="23" t="s">
        <v>17</v>
      </c>
      <c r="K12" t="s">
        <v>615</v>
      </c>
    </row>
    <row r="13" spans="2:11" x14ac:dyDescent="0.15">
      <c r="B13" s="30" t="s">
        <v>506</v>
      </c>
      <c r="D13" t="s">
        <v>499</v>
      </c>
      <c r="F13" s="24">
        <f>B7*5</f>
        <v>200000</v>
      </c>
      <c r="G13" s="24">
        <f>B7*2</f>
        <v>80000</v>
      </c>
      <c r="H13" s="24">
        <f>B7*1</f>
        <v>40000</v>
      </c>
      <c r="I13" s="24">
        <v>0</v>
      </c>
    </row>
    <row r="14" spans="2:11" ht="14" thickBot="1" x14ac:dyDescent="0.2">
      <c r="B14" t="s">
        <v>576</v>
      </c>
      <c r="D14" t="s">
        <v>500</v>
      </c>
      <c r="F14" s="316">
        <v>0</v>
      </c>
      <c r="G14" s="316">
        <f>F7*2</f>
        <v>120000</v>
      </c>
      <c r="H14" s="316">
        <f>F7</f>
        <v>60000</v>
      </c>
      <c r="I14" s="316">
        <f>F7</f>
        <v>60000</v>
      </c>
      <c r="K14" s="20" t="s">
        <v>509</v>
      </c>
    </row>
    <row r="15" spans="2:11" ht="14" thickTop="1" x14ac:dyDescent="0.15">
      <c r="F15" s="24">
        <f>F13+F14</f>
        <v>200000</v>
      </c>
      <c r="G15" s="24">
        <f>G13+G14</f>
        <v>200000</v>
      </c>
      <c r="H15" s="24">
        <f>H13+H14</f>
        <v>100000</v>
      </c>
      <c r="I15" s="24">
        <f>I13+I14</f>
        <v>60000</v>
      </c>
      <c r="K15" s="24">
        <f>SUM(F15:I15)</f>
        <v>560000</v>
      </c>
    </row>
    <row r="16" spans="2:11" ht="14" thickBot="1" x14ac:dyDescent="0.2"/>
    <row r="17" spans="2:14" ht="14" thickBot="1" x14ac:dyDescent="0.2">
      <c r="D17" s="319"/>
      <c r="E17" s="320" t="s">
        <v>689</v>
      </c>
      <c r="F17" s="314">
        <f t="array" ref="F17">SUM(IF(Flats!$E$2:$E$166=F$12,Flats!$I$2:$I$166,0))</f>
        <v>219</v>
      </c>
      <c r="G17" s="314">
        <f t="array" ref="G17">SUM(IF(Flats!$E$2:$E$166=G$12,Flats!$I$2:$I$166,0))</f>
        <v>322</v>
      </c>
      <c r="H17" s="314">
        <f t="array" ref="H17">SUM(IF(Flats!$E$2:$E$166=H$12,Flats!$I$2:$I$166,0))</f>
        <v>165</v>
      </c>
      <c r="I17" s="314">
        <f t="array" ref="I17">SUM(IF(Flats!$E$2:$E$166=I$12,Flats!$I$2:$I$166,0))</f>
        <v>150</v>
      </c>
      <c r="J17" s="315"/>
      <c r="K17" s="314">
        <f>SUM(F17:I17)</f>
        <v>856</v>
      </c>
      <c r="L17" s="315" t="s">
        <v>543</v>
      </c>
      <c r="M17" s="321">
        <f>K17/K15</f>
        <v>1.5285714285714286E-3</v>
      </c>
      <c r="N17" s="333" t="s">
        <v>736</v>
      </c>
    </row>
    <row r="18" spans="2:14" x14ac:dyDescent="0.15">
      <c r="F18" s="27"/>
      <c r="G18" s="27"/>
      <c r="H18" s="27"/>
      <c r="I18" s="27"/>
    </row>
    <row r="20" spans="2:14" x14ac:dyDescent="0.15">
      <c r="D20" s="13" t="s">
        <v>501</v>
      </c>
      <c r="E20" s="13" t="s">
        <v>502</v>
      </c>
    </row>
    <row r="21" spans="2:14" x14ac:dyDescent="0.15">
      <c r="D21" s="13" t="s">
        <v>525</v>
      </c>
      <c r="E21" s="13" t="s">
        <v>525</v>
      </c>
    </row>
    <row r="22" spans="2:14" ht="14" thickBot="1" x14ac:dyDescent="0.2">
      <c r="B22" s="23" t="s">
        <v>541</v>
      </c>
      <c r="C22" s="23" t="s">
        <v>525</v>
      </c>
      <c r="D22" s="23" t="s">
        <v>542</v>
      </c>
      <c r="E22" s="23" t="s">
        <v>524</v>
      </c>
      <c r="F22" s="33" t="s">
        <v>518</v>
      </c>
      <c r="G22" s="20"/>
    </row>
    <row r="23" spans="2:14" x14ac:dyDescent="0.15">
      <c r="B23" s="13" t="s">
        <v>17</v>
      </c>
      <c r="C23" s="13">
        <v>20</v>
      </c>
      <c r="D23" s="24">
        <v>3000</v>
      </c>
      <c r="E23" s="24">
        <f>C23*D23</f>
        <v>60000</v>
      </c>
      <c r="F23" t="s">
        <v>526</v>
      </c>
      <c r="I23" t="s">
        <v>575</v>
      </c>
    </row>
    <row r="24" spans="2:14" x14ac:dyDescent="0.15">
      <c r="B24" s="13" t="s">
        <v>4</v>
      </c>
      <c r="C24" s="13">
        <v>20</v>
      </c>
      <c r="D24" s="24">
        <v>5000</v>
      </c>
      <c r="E24" s="24">
        <f t="shared" ref="E24:E29" si="0">C24*D24</f>
        <v>100000</v>
      </c>
      <c r="F24" t="s">
        <v>527</v>
      </c>
    </row>
    <row r="25" spans="2:14" x14ac:dyDescent="0.15">
      <c r="B25" s="13" t="s">
        <v>10</v>
      </c>
      <c r="C25" s="13">
        <v>20</v>
      </c>
      <c r="D25" s="24">
        <v>10000</v>
      </c>
      <c r="E25" s="24">
        <f t="shared" si="0"/>
        <v>200000</v>
      </c>
      <c r="F25" t="s">
        <v>528</v>
      </c>
      <c r="I25" t="s">
        <v>686</v>
      </c>
    </row>
    <row r="26" spans="2:14" x14ac:dyDescent="0.15">
      <c r="B26" s="13" t="s">
        <v>436</v>
      </c>
      <c r="C26" s="13">
        <v>8</v>
      </c>
      <c r="D26" s="24">
        <v>5000</v>
      </c>
      <c r="E26" s="24">
        <f t="shared" si="0"/>
        <v>40000</v>
      </c>
      <c r="F26" t="s">
        <v>519</v>
      </c>
      <c r="I26" t="s">
        <v>531</v>
      </c>
    </row>
    <row r="27" spans="2:14" x14ac:dyDescent="0.15">
      <c r="B27" s="13" t="s">
        <v>436</v>
      </c>
      <c r="C27" s="13">
        <v>8</v>
      </c>
      <c r="D27" s="24">
        <v>5000</v>
      </c>
      <c r="E27" s="24">
        <f t="shared" si="0"/>
        <v>40000</v>
      </c>
      <c r="F27" t="s">
        <v>520</v>
      </c>
      <c r="I27" s="333" t="s">
        <v>728</v>
      </c>
    </row>
    <row r="28" spans="2:14" x14ac:dyDescent="0.15">
      <c r="B28" s="13" t="s">
        <v>436</v>
      </c>
      <c r="C28" s="13">
        <v>8</v>
      </c>
      <c r="D28" s="24">
        <v>5000</v>
      </c>
      <c r="E28" s="24">
        <f t="shared" si="0"/>
        <v>40000</v>
      </c>
      <c r="F28" t="s">
        <v>529</v>
      </c>
      <c r="I28" t="s">
        <v>693</v>
      </c>
    </row>
    <row r="29" spans="2:14" x14ac:dyDescent="0.15">
      <c r="B29" s="13" t="s">
        <v>436</v>
      </c>
      <c r="C29" s="13">
        <v>8</v>
      </c>
      <c r="D29" s="24">
        <v>5000</v>
      </c>
      <c r="E29" s="24">
        <f t="shared" si="0"/>
        <v>40000</v>
      </c>
      <c r="F29" t="s">
        <v>530</v>
      </c>
      <c r="I29" t="s">
        <v>534</v>
      </c>
    </row>
    <row r="30" spans="2:14" ht="14" thickBot="1" x14ac:dyDescent="0.2">
      <c r="B30" s="23" t="s">
        <v>436</v>
      </c>
      <c r="C30" s="23">
        <v>8</v>
      </c>
      <c r="D30" s="25">
        <v>5000</v>
      </c>
      <c r="E30" s="25">
        <f>C30*D30</f>
        <v>40000</v>
      </c>
      <c r="F30" s="20" t="s">
        <v>521</v>
      </c>
      <c r="G30" s="20"/>
      <c r="I30" t="s">
        <v>610</v>
      </c>
    </row>
    <row r="31" spans="2:14" x14ac:dyDescent="0.15">
      <c r="B31" s="30"/>
      <c r="C31" s="13">
        <f>SUM(C23:C30)</f>
        <v>100</v>
      </c>
      <c r="D31" s="24"/>
      <c r="E31" s="24">
        <f>SUM(E23:E30)</f>
        <v>560000</v>
      </c>
      <c r="F31" t="s">
        <v>509</v>
      </c>
      <c r="I31" s="333" t="s">
        <v>729</v>
      </c>
    </row>
    <row r="35" spans="2:12" x14ac:dyDescent="0.15">
      <c r="B35" s="333" t="s">
        <v>739</v>
      </c>
    </row>
    <row r="37" spans="2:12" ht="14" thickBot="1" x14ac:dyDescent="0.2">
      <c r="B37" s="23" t="s">
        <v>541</v>
      </c>
      <c r="C37" s="342" t="s">
        <v>524</v>
      </c>
      <c r="D37" s="342" t="s">
        <v>499</v>
      </c>
      <c r="E37" s="342" t="s">
        <v>500</v>
      </c>
    </row>
    <row r="38" spans="2:12" x14ac:dyDescent="0.15">
      <c r="B38" s="13" t="s">
        <v>17</v>
      </c>
      <c r="C38" s="24">
        <f>E23</f>
        <v>60000</v>
      </c>
      <c r="D38" s="24">
        <f>$B$7*0</f>
        <v>0</v>
      </c>
      <c r="E38" s="24">
        <f>C38-D38</f>
        <v>60000</v>
      </c>
      <c r="G38" s="333" t="s">
        <v>740</v>
      </c>
    </row>
    <row r="39" spans="2:12" x14ac:dyDescent="0.15">
      <c r="B39" s="13" t="s">
        <v>4</v>
      </c>
      <c r="C39" s="24">
        <f t="shared" ref="C39:C40" si="1">E24</f>
        <v>100000</v>
      </c>
      <c r="D39" s="24">
        <f>$B$7*1</f>
        <v>40000</v>
      </c>
      <c r="E39" s="24">
        <f>C39-D39</f>
        <v>60000</v>
      </c>
      <c r="G39" s="333" t="s">
        <v>741</v>
      </c>
    </row>
    <row r="40" spans="2:12" x14ac:dyDescent="0.15">
      <c r="B40" s="13" t="s">
        <v>10</v>
      </c>
      <c r="C40" s="24">
        <f t="shared" si="1"/>
        <v>200000</v>
      </c>
      <c r="D40" s="24">
        <f>$B$7*2</f>
        <v>80000</v>
      </c>
      <c r="E40" s="24">
        <f>C40-D40</f>
        <v>120000</v>
      </c>
      <c r="G40" s="333" t="s">
        <v>742</v>
      </c>
    </row>
    <row r="46" spans="2:12" x14ac:dyDescent="0.15">
      <c r="B46" s="43" t="s">
        <v>580</v>
      </c>
      <c r="D46" s="14"/>
      <c r="E46" s="14" t="s">
        <v>7</v>
      </c>
      <c r="F46" s="13" t="s">
        <v>176</v>
      </c>
      <c r="G46" s="13" t="s">
        <v>22</v>
      </c>
      <c r="H46" s="13" t="s">
        <v>257</v>
      </c>
      <c r="I46" s="13" t="s">
        <v>355</v>
      </c>
      <c r="J46" s="13" t="s">
        <v>354</v>
      </c>
      <c r="K46" s="13" t="s">
        <v>356</v>
      </c>
      <c r="L46" s="13" t="s">
        <v>502</v>
      </c>
    </row>
    <row r="47" spans="2:12" x14ac:dyDescent="0.15">
      <c r="B47" s="43"/>
      <c r="D47" s="61"/>
      <c r="E47" s="14" t="s">
        <v>581</v>
      </c>
      <c r="F47" s="14" t="s">
        <v>581</v>
      </c>
      <c r="G47" s="14" t="s">
        <v>581</v>
      </c>
      <c r="H47" s="14" t="s">
        <v>581</v>
      </c>
      <c r="I47" s="14" t="s">
        <v>581</v>
      </c>
      <c r="J47" s="14" t="s">
        <v>581</v>
      </c>
      <c r="K47" s="14" t="s">
        <v>581</v>
      </c>
      <c r="L47" s="60" t="s">
        <v>581</v>
      </c>
    </row>
    <row r="48" spans="2:12" x14ac:dyDescent="0.15">
      <c r="D48" s="14" t="s">
        <v>3</v>
      </c>
      <c r="E48" s="44">
        <f t="array" ref="E48">SUM(IF(Discs!$C$2:$C$241=$D48,IF(Discs!K$2:$K$241=E$46,1,0),0))</f>
        <v>18</v>
      </c>
      <c r="F48" s="45">
        <f t="array" ref="F48">SUM(IF(Discs!$C$2:$C$241=$D48,IF(Discs!$K$2:L$241=F$46,1,0),0))</f>
        <v>7</v>
      </c>
      <c r="G48" s="45">
        <f t="array" ref="G48">SUM(IF(Discs!$C$2:$C$241=$D48,IF(Discs!$K$2:M$241=G$46,1,0),0))</f>
        <v>2</v>
      </c>
      <c r="H48" s="324">
        <f t="array" ref="H48">SUM(IF(Discs!$C$2:$C$241=$D48,IF(Discs!$K$2:N$241=H$46,1,0),0))</f>
        <v>0</v>
      </c>
      <c r="I48" s="45">
        <f t="array" ref="I48">SUM(IF(Discs!$C$2:$C$241=$D48,IF(Discs!$K$2:O$241=I$46,1,0),0))</f>
        <v>1</v>
      </c>
      <c r="J48" s="45">
        <f t="array" ref="J48">SUM(IF(Discs!$C$2:$C$241=$D48,IF(Discs!$K$2:P$241=J$46,1,0),0))</f>
        <v>3</v>
      </c>
      <c r="K48" s="46">
        <f t="array" ref="K48">SUM(IF(Discs!$C$2:$C$241=$D48,IF(Discs!$K$2:Q$241=K$46,1,0),0))</f>
        <v>1</v>
      </c>
      <c r="L48" s="56">
        <f t="shared" ref="L48:L53" si="2">SUM(E48:K48)</f>
        <v>32</v>
      </c>
    </row>
    <row r="49" spans="2:13" x14ac:dyDescent="0.15">
      <c r="D49" s="13" t="s">
        <v>30</v>
      </c>
      <c r="E49" s="47">
        <f t="array" ref="E49">SUM(IF(Discs!$C$2:$C$241=$D49,IF(Discs!K$2:$K$241=E$46,1,0),0))</f>
        <v>30</v>
      </c>
      <c r="F49" s="27">
        <f t="array" ref="F49">SUM(IF(Discs!$C$2:$C$241=$D49,IF(Discs!$K$2:L$241=F$46,1,0),0))</f>
        <v>15</v>
      </c>
      <c r="G49" s="27">
        <f t="array" ref="G49">SUM(IF(Discs!$C$2:$C$241=$D49,IF(Discs!$K$2:M$241=G$46,1,0),0))</f>
        <v>2</v>
      </c>
      <c r="H49" s="27">
        <f t="array" ref="H49">SUM(IF(Discs!$C$2:$C$241=$D49,IF(Discs!$K$2:N$241=H$46,1,0),0))</f>
        <v>2</v>
      </c>
      <c r="I49" s="27">
        <f t="array" ref="I49">SUM(IF(Discs!$C$2:$C$241=$D49,IF(Discs!$K$2:O$241=I$46,1,0),0))</f>
        <v>1</v>
      </c>
      <c r="J49" s="27">
        <f t="array" ref="J49">SUM(IF(Discs!$C$2:$C$241=$D49,IF(Discs!$K$2:P$241=J$46,1,0),0))</f>
        <v>6</v>
      </c>
      <c r="K49" s="322">
        <f t="array" ref="K49">SUM(IF(Discs!$C$2:$C$241=$D49,IF(Discs!$K$2:Q$241=K$46,1,0),0))</f>
        <v>0</v>
      </c>
      <c r="L49" s="57">
        <f t="shared" si="2"/>
        <v>56</v>
      </c>
    </row>
    <row r="50" spans="2:13" x14ac:dyDescent="0.15">
      <c r="D50" s="13" t="s">
        <v>33</v>
      </c>
      <c r="E50" s="47">
        <f t="array" ref="E50">SUM(IF(Discs!$C$2:$C$241=$D50,IF(Discs!K$2:$K$241=E$46,1,0),0))</f>
        <v>16</v>
      </c>
      <c r="F50" s="27">
        <f t="array" ref="F50">SUM(IF(Discs!$C$2:$C$241=$D50,IF(Discs!$K$2:L$241=F$46,1,0),0))</f>
        <v>8</v>
      </c>
      <c r="G50" s="27">
        <f t="array" ref="G50">SUM(IF(Discs!$C$2:$C$241=$D50,IF(Discs!$K$2:M$241=G$46,1,0),0))</f>
        <v>2</v>
      </c>
      <c r="H50" s="27">
        <f t="array" ref="H50">SUM(IF(Discs!$C$2:$C$241=$D50,IF(Discs!$K$2:N$241=H$46,1,0),0))</f>
        <v>1</v>
      </c>
      <c r="I50" s="27">
        <f t="array" ref="I50">SUM(IF(Discs!$C$2:$C$241=$D50,IF(Discs!$K$2:O$241=I$46,1,0),0))</f>
        <v>1</v>
      </c>
      <c r="J50" s="27">
        <f t="array" ref="J50">SUM(IF(Discs!$C$2:$C$241=$D50,IF(Discs!$K$2:P$241=J$46,1,0),0))</f>
        <v>3</v>
      </c>
      <c r="K50" s="48">
        <f t="array" ref="K50">SUM(IF(Discs!$C$2:$C$241=$D50,IF(Discs!$K$2:Q$241=K$46,1,0),0))</f>
        <v>1</v>
      </c>
      <c r="L50" s="57">
        <f t="shared" si="2"/>
        <v>32</v>
      </c>
    </row>
    <row r="51" spans="2:13" x14ac:dyDescent="0.15">
      <c r="D51" s="13" t="s">
        <v>68</v>
      </c>
      <c r="E51" s="47">
        <f t="array" ref="E51">SUM(IF(Discs!$C$2:$C$241=$D51,IF(Discs!K$2:$K$241=E$46,1,0),0))</f>
        <v>30</v>
      </c>
      <c r="F51" s="27">
        <f t="array" ref="F51">SUM(IF(Discs!$C$2:$C$241=$D51,IF(Discs!$K$2:L$241=F$46,1,0),0))</f>
        <v>15</v>
      </c>
      <c r="G51" s="27">
        <f t="array" ref="G51">SUM(IF(Discs!$C$2:$C$241=$D51,IF(Discs!$K$2:M$241=G$46,1,0),0))</f>
        <v>3</v>
      </c>
      <c r="H51" s="27">
        <f t="array" ref="H51">SUM(IF(Discs!$C$2:$C$241=$D51,IF(Discs!$K$2:N$241=H$46,1,0),0))</f>
        <v>2</v>
      </c>
      <c r="I51" s="27">
        <f t="array" ref="I51">SUM(IF(Discs!$C$2:$C$241=$D51,IF(Discs!$K$2:O$241=I$46,1,0),0))</f>
        <v>1</v>
      </c>
      <c r="J51" s="27">
        <f t="array" ref="J51">SUM(IF(Discs!$C$2:$C$241=$D51,IF(Discs!$K$2:P$241=J$46,1,0),0))</f>
        <v>6</v>
      </c>
      <c r="K51" s="48">
        <f t="array" ref="K51">SUM(IF(Discs!$C$2:$C$241=$D51,IF(Discs!$K$2:Q$241=K$46,1,0),0))</f>
        <v>1</v>
      </c>
      <c r="L51" s="57">
        <f t="shared" si="2"/>
        <v>58</v>
      </c>
    </row>
    <row r="52" spans="2:13" x14ac:dyDescent="0.15">
      <c r="D52" s="13" t="s">
        <v>26</v>
      </c>
      <c r="E52" s="47">
        <f t="array" ref="E52">SUM(IF(Discs!$C$2:$C$241=$D52,IF(Discs!K$2:$K$241=E$46,1,0),0))</f>
        <v>27</v>
      </c>
      <c r="F52" s="27">
        <f t="array" ref="F52">SUM(IF(Discs!$C$2:$C$241=$D52,IF(Discs!$K$2:L$241=F$46,1,0),0))</f>
        <v>16</v>
      </c>
      <c r="G52" s="27">
        <f t="array" ref="G52">SUM(IF(Discs!$C$2:$C$241=$D52,IF(Discs!$K$2:M$241=G$46,1,0),0))</f>
        <v>3</v>
      </c>
      <c r="H52" s="27">
        <f t="array" ref="H52">SUM(IF(Discs!$C$2:$C$241=$D52,IF(Discs!$K$2:N$241=H$46,1,0),0))</f>
        <v>1</v>
      </c>
      <c r="I52" s="323">
        <f t="array" ref="I52">SUM(IF(Discs!$C$2:$C$241=$D52,IF(Discs!$K$2:O$241=I$46,1,0),0))</f>
        <v>0</v>
      </c>
      <c r="J52" s="27">
        <f t="array" ref="J52">SUM(IF(Discs!$C$2:$C$241=$D52,IF(Discs!$K$2:P$241=J$46,1,0),0))</f>
        <v>6</v>
      </c>
      <c r="K52" s="27">
        <f t="array" ref="K52">SUM(IF(Discs!$C$2:$C$241=$D52,IF(Discs!$K$2:Q$241=K$46,1,0),0))</f>
        <v>1</v>
      </c>
      <c r="L52" s="62">
        <f t="shared" si="2"/>
        <v>54</v>
      </c>
      <c r="M52" s="63"/>
    </row>
    <row r="53" spans="2:13" x14ac:dyDescent="0.15">
      <c r="D53" s="13" t="s">
        <v>577</v>
      </c>
      <c r="E53" s="49">
        <f t="array" ref="E53">SUM(IF(Discs!$C$2:$C$241=$D53,IF(Discs!K$2:$K$241=E$46,1,0),0))</f>
        <v>0</v>
      </c>
      <c r="F53" s="50">
        <f t="array" ref="F53">SUM(IF(Discs!$C$2:$C$241=$D53,IF(Discs!$K$2:L$241=F$46,1,0),0))</f>
        <v>0</v>
      </c>
      <c r="G53" s="50">
        <f t="array" ref="G53">SUM(IF(Discs!$C$2:$C$241=$D53,IF(Discs!$K$2:M$241=G$46,1,0),0))</f>
        <v>8</v>
      </c>
      <c r="H53" s="50">
        <f t="array" ref="H53">SUM(IF(Discs!$C$2:$C$241=$D53,IF(Discs!$K$2:N$241=H$46,1,0),0))</f>
        <v>0</v>
      </c>
      <c r="I53" s="50">
        <f t="array" ref="I53">SUM(IF(Discs!$C$2:$C$241=$D53,IF(Discs!$K$2:O$241=I$46,1,0),0))</f>
        <v>0</v>
      </c>
      <c r="J53" s="50">
        <f t="array" ref="J53">SUM(IF(Discs!$C$2:$C$241=$D53,IF(Discs!$K$2:P$241=J$46,1,0),0))</f>
        <v>0</v>
      </c>
      <c r="K53" s="51">
        <f t="array" ref="K53">SUM(IF(Discs!$C$2:$C$241=$D53,IF(Discs!$K$2:Q$241=K$46,1,0),0))</f>
        <v>0</v>
      </c>
      <c r="L53" s="58">
        <f t="shared" si="2"/>
        <v>8</v>
      </c>
    </row>
    <row r="54" spans="2:13" x14ac:dyDescent="0.15">
      <c r="D54" s="46" t="s">
        <v>502</v>
      </c>
      <c r="E54" s="27">
        <f t="shared" ref="E54:L54" si="3">SUM(E48:E53)</f>
        <v>121</v>
      </c>
      <c r="F54" s="27">
        <f t="shared" si="3"/>
        <v>61</v>
      </c>
      <c r="G54" s="27">
        <f t="shared" si="3"/>
        <v>20</v>
      </c>
      <c r="H54" s="27">
        <f t="shared" si="3"/>
        <v>6</v>
      </c>
      <c r="I54" s="27">
        <f t="shared" si="3"/>
        <v>4</v>
      </c>
      <c r="J54" s="27">
        <f t="shared" si="3"/>
        <v>24</v>
      </c>
      <c r="K54" s="27">
        <f t="shared" si="3"/>
        <v>4</v>
      </c>
      <c r="L54" s="59">
        <f t="shared" si="3"/>
        <v>240</v>
      </c>
      <c r="M54" t="s">
        <v>591</v>
      </c>
    </row>
    <row r="55" spans="2:13" x14ac:dyDescent="0.15">
      <c r="B55" s="30"/>
      <c r="M55" t="s">
        <v>592</v>
      </c>
    </row>
    <row r="57" spans="2:13" x14ac:dyDescent="0.15">
      <c r="D57" s="14"/>
      <c r="E57" s="12" t="s">
        <v>434</v>
      </c>
      <c r="F57" s="13" t="s">
        <v>22</v>
      </c>
      <c r="G57" s="13" t="s">
        <v>433</v>
      </c>
      <c r="H57" s="13" t="s">
        <v>402</v>
      </c>
      <c r="I57" s="13" t="s">
        <v>502</v>
      </c>
      <c r="J57" s="13" t="s">
        <v>502</v>
      </c>
    </row>
    <row r="58" spans="2:13" x14ac:dyDescent="0.15">
      <c r="D58" s="61"/>
      <c r="E58" s="14" t="s">
        <v>582</v>
      </c>
      <c r="F58" s="14" t="s">
        <v>582</v>
      </c>
      <c r="G58" s="14" t="s">
        <v>582</v>
      </c>
      <c r="H58" s="14" t="s">
        <v>582</v>
      </c>
      <c r="I58" s="60" t="s">
        <v>582</v>
      </c>
      <c r="J58" s="28" t="s">
        <v>593</v>
      </c>
    </row>
    <row r="59" spans="2:13" x14ac:dyDescent="0.15">
      <c r="D59" s="14" t="s">
        <v>3</v>
      </c>
      <c r="E59" s="325">
        <f t="array" ref="E59">SUM(IF(Flats!$H$2:$H$101=$D59,IF(Flats!G$2:$G$101=E$57,1,0),0))</f>
        <v>4</v>
      </c>
      <c r="F59" s="45">
        <f t="array" ref="F59">SUM(IF(Flats!$H$2:$H$101=$D59,IF(Flats!$G$2:H$101=F$57,1,0),0))</f>
        <v>2</v>
      </c>
      <c r="G59" s="324">
        <f t="array" ref="G59">SUM(IF(Flats!$H$2:$H$101=$D59,IF(Flats!$G$2:I$101=G$57,1,0),0))</f>
        <v>5</v>
      </c>
      <c r="H59" s="324">
        <f t="array" ref="H59">SUM(IF(Flats!$H$2:$H$101=$D59,IF(Flats!$G$2:M$101=H$57,1,0),0))</f>
        <v>2</v>
      </c>
      <c r="I59" s="325">
        <f t="array" ref="I59">SUM(IF(Flats!$H$2:$H$101=$D59,1,0))</f>
        <v>13</v>
      </c>
      <c r="J59" s="326">
        <f t="array" ref="J59">SUM(IF(Flats!$H$2:$H$101=$D59,Flats!$U$2:$U$101,0))</f>
        <v>32</v>
      </c>
    </row>
    <row r="60" spans="2:13" x14ac:dyDescent="0.15">
      <c r="D60" s="13" t="s">
        <v>30</v>
      </c>
      <c r="E60" s="47">
        <f t="array" ref="E60">SUM(IF(Flats!$H$2:$H$101=$D60,IF(Flats!G$2:$G$101=E$57,1,0),0))</f>
        <v>8</v>
      </c>
      <c r="F60" s="27">
        <f t="array" ref="F60">SUM(IF(Flats!$H$2:$H$101=$D60,IF(Flats!$G$2:H$101=F$57,1,0),0))</f>
        <v>2</v>
      </c>
      <c r="G60" s="27">
        <f t="array" ref="G60">SUM(IF(Flats!$H$2:$H$101=$D60,IF(Flats!$G$2:I$101=G$57,1,0),0))</f>
        <v>7</v>
      </c>
      <c r="H60" s="27">
        <f t="array" ref="H60">SUM(IF(Flats!$H$2:$H$101=$D60,IF(Flats!$G$2:M$101=H$57,1,0),0))</f>
        <v>3</v>
      </c>
      <c r="I60" s="62">
        <f t="array" ref="I60">SUM(IF(Flats!$H$2:$H$101=$D60,1,0))</f>
        <v>20</v>
      </c>
      <c r="J60" s="64">
        <f t="array" ref="J60">SUM(IF(Flats!$H$2:$H$101=$D60,Flats!$U$2:$U$101,0))</f>
        <v>56</v>
      </c>
    </row>
    <row r="61" spans="2:13" x14ac:dyDescent="0.15">
      <c r="D61" s="13" t="s">
        <v>33</v>
      </c>
      <c r="E61" s="327">
        <f t="array" ref="E61">SUM(IF(Flats!$H$2:$H$101=$D61,IF(Flats!G$2:$G$101=E$57,1,0),0))</f>
        <v>4</v>
      </c>
      <c r="F61" s="27">
        <f t="array" ref="F61">SUM(IF(Flats!$H$2:$H$101=$D61,IF(Flats!$G$2:H$101=F$57,1,0),0))</f>
        <v>2</v>
      </c>
      <c r="G61" s="323">
        <f t="array" ref="G61">SUM(IF(Flats!$H$2:$H$101=$D61,IF(Flats!$G$2:I$101=G$57,1,0),0))</f>
        <v>5</v>
      </c>
      <c r="H61" s="323">
        <f t="array" ref="H61">SUM(IF(Flats!$H$2:$H$101=$D61,IF(Flats!$G$2:M$101=H$57,1,0),0))</f>
        <v>3</v>
      </c>
      <c r="I61" s="327">
        <f t="array" ref="I61">SUM(IF(Flats!$H$2:$H$101=$D61,1,0))</f>
        <v>14</v>
      </c>
      <c r="J61" s="328">
        <f t="array" ref="J61">SUM(IF(Flats!$H$2:$H$101=$D61,Flats!$U$2:$U$101,0))</f>
        <v>32</v>
      </c>
    </row>
    <row r="62" spans="2:13" x14ac:dyDescent="0.15">
      <c r="D62" s="13" t="s">
        <v>68</v>
      </c>
      <c r="E62" s="47">
        <f t="array" ref="E62">SUM(IF(Flats!$H$2:$H$101=$D62,IF(Flats!G$2:$G$101=E$57,1,0),0))</f>
        <v>8</v>
      </c>
      <c r="F62" s="27">
        <f t="array" ref="F62">SUM(IF(Flats!$H$2:$H$101=$D62,IF(Flats!$G$2:H$101=F$57,1,0),0))</f>
        <v>3</v>
      </c>
      <c r="G62" s="27">
        <f t="array" ref="G62">SUM(IF(Flats!$H$2:$H$101=$D62,IF(Flats!$G$2:I$101=G$57,1,0),0))</f>
        <v>8</v>
      </c>
      <c r="H62" s="27">
        <f t="array" ref="H62">SUM(IF(Flats!$H$2:$H$101=$D62,IF(Flats!$G$2:M$101=H$57,1,0),0))</f>
        <v>4</v>
      </c>
      <c r="I62" s="62">
        <f t="array" ref="I62">SUM(IF(Flats!$H$2:$H$101=$D62,1,0))</f>
        <v>23</v>
      </c>
      <c r="J62" s="64">
        <f t="array" ref="J62">SUM(IF(Flats!$H$2:$H$101=$D62,Flats!$U$2:$U$101,0))</f>
        <v>58</v>
      </c>
    </row>
    <row r="63" spans="2:13" x14ac:dyDescent="0.15">
      <c r="D63" s="13" t="s">
        <v>26</v>
      </c>
      <c r="E63" s="47">
        <f t="array" ref="E63">SUM(IF(Flats!$H$2:$H$101=$D63,IF(Flats!G$2:$G$101=E$57,1,0),0))</f>
        <v>8</v>
      </c>
      <c r="F63" s="27">
        <f t="array" ref="F63">SUM(IF(Flats!$H$2:$H$101=$D63,IF(Flats!$G$2:H$101=F$57,1,0),0))</f>
        <v>3</v>
      </c>
      <c r="G63" s="27">
        <f t="array" ref="G63">SUM(IF(Flats!$H$2:$H$101=$D63,IF(Flats!$G$2:I$101=G$57,1,0),0))</f>
        <v>7</v>
      </c>
      <c r="H63" s="27">
        <f t="array" ref="H63">SUM(IF(Flats!$H$2:$H$101=$D63,IF(Flats!$G$2:M$101=H$57,1,0),0))</f>
        <v>4</v>
      </c>
      <c r="I63" s="62">
        <f t="array" ref="I63">SUM(IF(Flats!$H$2:$H$101=$D63,1,0))</f>
        <v>22</v>
      </c>
      <c r="J63" s="64">
        <f t="array" ref="J63">SUM(IF(Flats!$H$2:$H$101=$D63,Flats!$U$2:$U$101,0))</f>
        <v>54</v>
      </c>
    </row>
    <row r="64" spans="2:13" x14ac:dyDescent="0.15">
      <c r="D64" s="13" t="s">
        <v>577</v>
      </c>
      <c r="E64" s="49">
        <f t="array" ref="E64">SUM(IF(Flats!$H$2:$H$101=$D64,IF(Flats!G$2:$G$101=E$57,1,0),0))</f>
        <v>0</v>
      </c>
      <c r="F64" s="50">
        <f t="array" ref="F64">SUM(IF(Flats!$H$2:$H$101=$D64,IF(Flats!$G$2:H$101=F$57,1,0),0))</f>
        <v>8</v>
      </c>
      <c r="G64" s="50">
        <f t="array" ref="G64">SUM(IF(Flats!$H$2:$H$101=$D64,IF(Flats!$G$2:I$101=G$57,1,0),0))</f>
        <v>0</v>
      </c>
      <c r="H64" s="50">
        <f t="array" ref="H64">SUM(IF(Flats!$H$2:$H$101=$D64,IF(Flats!$G$2:M$101=H$57,1,0),0))</f>
        <v>0</v>
      </c>
      <c r="I64" s="60">
        <f t="array" ref="I64">SUM(IF(Flats!$H$2:$H$101=$D64,1,0))</f>
        <v>8</v>
      </c>
      <c r="J64" s="65">
        <f t="array" ref="J64">SUM(IF(Flats!$H$2:$H$101=$D64,Flats!$U$2:$U$101,0))</f>
        <v>8</v>
      </c>
    </row>
    <row r="65" spans="2:12" x14ac:dyDescent="0.15">
      <c r="D65" s="46" t="s">
        <v>502</v>
      </c>
      <c r="E65" s="27">
        <f>SUM(E59:E64)</f>
        <v>32</v>
      </c>
      <c r="F65" s="27">
        <f>SUM(F59:F64)</f>
        <v>20</v>
      </c>
      <c r="G65" s="27">
        <f>SUM(G59:G64)</f>
        <v>32</v>
      </c>
      <c r="H65" s="27">
        <f>SUM(H59:H64)</f>
        <v>16</v>
      </c>
      <c r="I65" s="59">
        <f t="shared" ref="I65:J65" si="4">SUM(E65:H65)</f>
        <v>100</v>
      </c>
      <c r="J65" s="59">
        <f t="shared" si="4"/>
        <v>168</v>
      </c>
    </row>
    <row r="66" spans="2:12" x14ac:dyDescent="0.15">
      <c r="I66" s="13" t="s">
        <v>595</v>
      </c>
      <c r="J66" s="13" t="s">
        <v>594</v>
      </c>
    </row>
    <row r="67" spans="2:12" x14ac:dyDescent="0.15">
      <c r="I67" s="13" t="s">
        <v>525</v>
      </c>
      <c r="J67" s="13" t="s">
        <v>525</v>
      </c>
    </row>
    <row r="70" spans="2:12" x14ac:dyDescent="0.15">
      <c r="B70" t="s">
        <v>625</v>
      </c>
      <c r="E70" s="157" t="s">
        <v>524</v>
      </c>
      <c r="F70" s="157" t="s">
        <v>525</v>
      </c>
      <c r="G70" s="157" t="s">
        <v>502</v>
      </c>
      <c r="H70" s="157" t="s">
        <v>541</v>
      </c>
    </row>
    <row r="71" spans="2:12" ht="14" thickBot="1" x14ac:dyDescent="0.2">
      <c r="D71" s="158" t="s">
        <v>525</v>
      </c>
      <c r="E71" s="158" t="s">
        <v>613</v>
      </c>
      <c r="F71" s="158" t="s">
        <v>626</v>
      </c>
      <c r="G71" s="158" t="s">
        <v>524</v>
      </c>
      <c r="H71" s="158" t="s">
        <v>626</v>
      </c>
      <c r="I71" s="158" t="s">
        <v>541</v>
      </c>
      <c r="J71" s="20"/>
      <c r="K71" s="20"/>
      <c r="L71" s="20"/>
    </row>
    <row r="72" spans="2:12" x14ac:dyDescent="0.15">
      <c r="D72" s="159"/>
      <c r="E72" s="160"/>
      <c r="F72" s="162"/>
      <c r="G72" s="159"/>
      <c r="H72" s="159"/>
      <c r="I72" s="159"/>
      <c r="J72" s="72"/>
      <c r="K72" s="72"/>
      <c r="L72" s="72"/>
    </row>
    <row r="73" spans="2:12" x14ac:dyDescent="0.15">
      <c r="D73" s="13">
        <v>8</v>
      </c>
      <c r="E73" s="24">
        <v>5000</v>
      </c>
      <c r="F73" s="55">
        <f>E73/G$91</f>
        <v>8.9285714285714281E-3</v>
      </c>
      <c r="G73" s="24">
        <f>D73*E73</f>
        <v>40000</v>
      </c>
      <c r="H73" s="55">
        <f>G73/G$91</f>
        <v>7.1428571428571425E-2</v>
      </c>
      <c r="I73" s="67" t="s">
        <v>519</v>
      </c>
    </row>
    <row r="74" spans="2:12" x14ac:dyDescent="0.15">
      <c r="D74" s="13">
        <v>8</v>
      </c>
      <c r="E74" s="24">
        <v>5000</v>
      </c>
      <c r="F74" s="55">
        <f>E74/G$91</f>
        <v>8.9285714285714281E-3</v>
      </c>
      <c r="G74" s="24">
        <f>D74*E74</f>
        <v>40000</v>
      </c>
      <c r="H74" s="55">
        <f>G74/G$91</f>
        <v>7.1428571428571425E-2</v>
      </c>
      <c r="I74" s="67" t="s">
        <v>611</v>
      </c>
    </row>
    <row r="75" spans="2:12" x14ac:dyDescent="0.15">
      <c r="D75" s="13">
        <v>8</v>
      </c>
      <c r="E75" s="24">
        <v>5000</v>
      </c>
      <c r="F75" s="55">
        <f>E75/G$91</f>
        <v>8.9285714285714281E-3</v>
      </c>
      <c r="G75" s="24">
        <f>D75*E75</f>
        <v>40000</v>
      </c>
      <c r="H75" s="55">
        <f>G75/G$91</f>
        <v>7.1428571428571425E-2</v>
      </c>
      <c r="I75" s="67" t="s">
        <v>612</v>
      </c>
    </row>
    <row r="76" spans="2:12" x14ac:dyDescent="0.15">
      <c r="D76" s="13">
        <v>8</v>
      </c>
      <c r="E76" s="24">
        <v>5000</v>
      </c>
      <c r="F76" s="55">
        <f>E76/G$91</f>
        <v>8.9285714285714281E-3</v>
      </c>
      <c r="G76" s="24">
        <f>D76*E76</f>
        <v>40000</v>
      </c>
      <c r="H76" s="55">
        <f>G76/G$91</f>
        <v>7.1428571428571425E-2</v>
      </c>
      <c r="I76" s="67" t="s">
        <v>521</v>
      </c>
    </row>
    <row r="77" spans="2:12" x14ac:dyDescent="0.15">
      <c r="D77" s="13">
        <v>8</v>
      </c>
      <c r="E77" s="24">
        <v>5000</v>
      </c>
      <c r="F77" s="55">
        <f>E77/G$91</f>
        <v>8.9285714285714281E-3</v>
      </c>
      <c r="G77" s="24">
        <f>D77*E77</f>
        <v>40000</v>
      </c>
      <c r="H77" s="55">
        <f>G77/G$91</f>
        <v>7.1428571428571425E-2</v>
      </c>
      <c r="I77" s="67" t="s">
        <v>530</v>
      </c>
    </row>
    <row r="78" spans="2:12" x14ac:dyDescent="0.15">
      <c r="D78" s="13"/>
      <c r="E78" s="24"/>
      <c r="F78" s="55"/>
      <c r="G78" s="24"/>
      <c r="H78" s="67"/>
      <c r="I78" s="67"/>
    </row>
    <row r="79" spans="2:12" x14ac:dyDescent="0.15">
      <c r="D79" s="13">
        <v>8</v>
      </c>
      <c r="E79" s="24">
        <v>10000</v>
      </c>
      <c r="F79" s="55">
        <f>E79/G$91</f>
        <v>1.7857142857142856E-2</v>
      </c>
      <c r="G79" s="24">
        <f>D79*E79</f>
        <v>80000</v>
      </c>
      <c r="H79" s="55">
        <f>G79/G$91</f>
        <v>0.14285714285714285</v>
      </c>
      <c r="I79" s="67" t="s">
        <v>616</v>
      </c>
    </row>
    <row r="80" spans="2:12" x14ac:dyDescent="0.15">
      <c r="D80" s="13">
        <v>4</v>
      </c>
      <c r="E80" s="24">
        <v>10000</v>
      </c>
      <c r="F80" s="55">
        <f>E80/G$91</f>
        <v>1.7857142857142856E-2</v>
      </c>
      <c r="G80" s="24">
        <f>D80*E80</f>
        <v>40000</v>
      </c>
      <c r="H80" s="55">
        <f>G80/G$91</f>
        <v>7.1428571428571425E-2</v>
      </c>
      <c r="I80" s="67" t="s">
        <v>617</v>
      </c>
    </row>
    <row r="81" spans="2:9" x14ac:dyDescent="0.15">
      <c r="D81" s="13">
        <v>8</v>
      </c>
      <c r="E81" s="24">
        <v>10000</v>
      </c>
      <c r="F81" s="55">
        <f>E81/G$91</f>
        <v>1.7857142857142856E-2</v>
      </c>
      <c r="G81" s="24">
        <f>D81*E81</f>
        <v>80000</v>
      </c>
      <c r="H81" s="55">
        <f>G81/G$91</f>
        <v>0.14285714285714285</v>
      </c>
      <c r="I81" s="67" t="s">
        <v>618</v>
      </c>
    </row>
    <row r="82" spans="2:9" x14ac:dyDescent="0.15">
      <c r="D82" s="13"/>
      <c r="E82" s="161"/>
      <c r="F82" s="163"/>
      <c r="G82" s="161"/>
      <c r="H82" s="67"/>
      <c r="I82" s="67"/>
    </row>
    <row r="83" spans="2:9" x14ac:dyDescent="0.15">
      <c r="D83" s="13">
        <v>8</v>
      </c>
      <c r="E83" s="24">
        <v>5000</v>
      </c>
      <c r="F83" s="55">
        <f>E83/G$91</f>
        <v>8.9285714285714281E-3</v>
      </c>
      <c r="G83" s="24">
        <f t="shared" ref="G83:G85" si="5">D83*E83</f>
        <v>40000</v>
      </c>
      <c r="H83" s="55">
        <f>G83/G$91</f>
        <v>7.1428571428571425E-2</v>
      </c>
      <c r="I83" s="67" t="s">
        <v>619</v>
      </c>
    </row>
    <row r="84" spans="2:9" x14ac:dyDescent="0.15">
      <c r="D84" s="13">
        <v>4</v>
      </c>
      <c r="E84" s="24">
        <v>5000</v>
      </c>
      <c r="F84" s="55">
        <f>E84/G$91</f>
        <v>8.9285714285714281E-3</v>
      </c>
      <c r="G84" s="164">
        <f t="shared" si="5"/>
        <v>20000</v>
      </c>
      <c r="H84" s="55">
        <f>G84/G$91</f>
        <v>3.5714285714285712E-2</v>
      </c>
      <c r="I84" s="67" t="s">
        <v>622</v>
      </c>
    </row>
    <row r="85" spans="2:9" x14ac:dyDescent="0.15">
      <c r="D85" s="13">
        <v>8</v>
      </c>
      <c r="E85" s="24">
        <v>5000</v>
      </c>
      <c r="F85" s="55">
        <f>E85/G$91</f>
        <v>8.9285714285714281E-3</v>
      </c>
      <c r="G85" s="164">
        <f t="shared" si="5"/>
        <v>40000</v>
      </c>
      <c r="H85" s="55">
        <f>G85/G$91</f>
        <v>7.1428571428571425E-2</v>
      </c>
      <c r="I85" s="67" t="s">
        <v>620</v>
      </c>
    </row>
    <row r="86" spans="2:9" x14ac:dyDescent="0.15">
      <c r="D86" s="13"/>
      <c r="E86" s="24"/>
      <c r="F86" s="55"/>
      <c r="G86" s="164"/>
      <c r="H86" s="67"/>
      <c r="I86" s="67"/>
    </row>
    <row r="87" spans="2:9" x14ac:dyDescent="0.15">
      <c r="D87" s="13">
        <v>8</v>
      </c>
      <c r="E87" s="24">
        <v>3000</v>
      </c>
      <c r="F87" s="55">
        <f>E87/G$91</f>
        <v>5.3571428571428572E-3</v>
      </c>
      <c r="G87" s="164">
        <f t="shared" ref="G87:G89" si="6">D87*E87</f>
        <v>24000</v>
      </c>
      <c r="H87" s="55">
        <f>G87/G$91</f>
        <v>4.2857142857142858E-2</v>
      </c>
      <c r="I87" s="67" t="s">
        <v>623</v>
      </c>
    </row>
    <row r="88" spans="2:9" x14ac:dyDescent="0.15">
      <c r="D88" s="13">
        <v>4</v>
      </c>
      <c r="E88" s="24">
        <v>3000</v>
      </c>
      <c r="F88" s="55">
        <f>E88/G$91</f>
        <v>5.3571428571428572E-3</v>
      </c>
      <c r="G88" s="164">
        <f t="shared" si="6"/>
        <v>12000</v>
      </c>
      <c r="H88" s="55">
        <f>G88/G$91</f>
        <v>2.1428571428571429E-2</v>
      </c>
      <c r="I88" s="67" t="s">
        <v>624</v>
      </c>
    </row>
    <row r="89" spans="2:9" x14ac:dyDescent="0.15">
      <c r="D89" s="13">
        <v>8</v>
      </c>
      <c r="E89" s="24">
        <v>3000</v>
      </c>
      <c r="F89" s="55">
        <f>E89/G$91</f>
        <v>5.3571428571428572E-3</v>
      </c>
      <c r="G89" s="24">
        <f t="shared" si="6"/>
        <v>24000</v>
      </c>
      <c r="H89" s="55">
        <f>G89/G$91</f>
        <v>4.2857142857142858E-2</v>
      </c>
      <c r="I89" s="67" t="s">
        <v>621</v>
      </c>
    </row>
    <row r="90" spans="2:9" x14ac:dyDescent="0.15">
      <c r="D90" s="13"/>
      <c r="E90" s="24"/>
      <c r="F90" s="13"/>
      <c r="G90" s="24"/>
      <c r="H90" s="67"/>
    </row>
    <row r="91" spans="2:9" x14ac:dyDescent="0.15">
      <c r="D91" s="24">
        <f>SUM(D73:D90)</f>
        <v>100</v>
      </c>
      <c r="E91" s="13"/>
      <c r="F91" s="55"/>
      <c r="G91" s="24">
        <f>SUM(G73:G90)</f>
        <v>560000</v>
      </c>
    </row>
    <row r="92" spans="2:9" x14ac:dyDescent="0.15">
      <c r="D92" s="13" t="s">
        <v>657</v>
      </c>
      <c r="E92" s="13"/>
      <c r="F92" s="13"/>
      <c r="G92" s="67" t="s">
        <v>509</v>
      </c>
    </row>
    <row r="93" spans="2:9" x14ac:dyDescent="0.15">
      <c r="B93" s="13"/>
      <c r="C93" s="13"/>
      <c r="D93" s="13"/>
    </row>
    <row r="94" spans="2:9" x14ac:dyDescent="0.15">
      <c r="B94" s="13"/>
      <c r="C94" s="13"/>
      <c r="D94" s="67" t="s">
        <v>629</v>
      </c>
    </row>
    <row r="95" spans="2:9" x14ac:dyDescent="0.15">
      <c r="B95" s="13"/>
      <c r="C95" s="13"/>
      <c r="D95" s="67" t="s">
        <v>627</v>
      </c>
    </row>
    <row r="96" spans="2:9" x14ac:dyDescent="0.15">
      <c r="B96" s="13"/>
      <c r="C96" s="13"/>
      <c r="D96" s="67" t="s">
        <v>628</v>
      </c>
    </row>
    <row r="98" spans="4:11" x14ac:dyDescent="0.15">
      <c r="D98" s="67" t="s">
        <v>630</v>
      </c>
    </row>
    <row r="99" spans="4:11" x14ac:dyDescent="0.15">
      <c r="D99" s="67" t="s">
        <v>631</v>
      </c>
    </row>
    <row r="102" spans="4:11" x14ac:dyDescent="0.15">
      <c r="D102" s="163"/>
      <c r="E102" s="163"/>
      <c r="F102" s="163"/>
      <c r="G102" s="163"/>
    </row>
    <row r="103" spans="4:11" x14ac:dyDescent="0.15">
      <c r="D103" s="163">
        <f>1-$D$122</f>
        <v>0.99460000000000004</v>
      </c>
      <c r="E103" s="163">
        <f t="shared" ref="E103:G106" si="7">1-$D$122</f>
        <v>0.99460000000000004</v>
      </c>
      <c r="F103" s="163">
        <f t="shared" si="7"/>
        <v>0.99460000000000004</v>
      </c>
      <c r="G103" s="163">
        <f t="shared" si="7"/>
        <v>0.99460000000000004</v>
      </c>
      <c r="H103" s="331">
        <f t="shared" ref="H103:H118" si="8">D103*E103*F103*G103</f>
        <v>0.97857433099430569</v>
      </c>
      <c r="J103" t="s">
        <v>634</v>
      </c>
    </row>
    <row r="104" spans="4:11" x14ac:dyDescent="0.15">
      <c r="D104" s="163">
        <f>$D$122</f>
        <v>5.4000000000000003E-3</v>
      </c>
      <c r="E104" s="163">
        <f t="shared" si="7"/>
        <v>0.99460000000000004</v>
      </c>
      <c r="F104" s="163">
        <f t="shared" si="7"/>
        <v>0.99460000000000004</v>
      </c>
      <c r="G104" s="163">
        <f t="shared" si="7"/>
        <v>0.99460000000000004</v>
      </c>
      <c r="H104" s="331">
        <f t="shared" si="8"/>
        <v>5.3129915416944016E-3</v>
      </c>
      <c r="J104" t="s">
        <v>638</v>
      </c>
    </row>
    <row r="105" spans="4:11" x14ac:dyDescent="0.15">
      <c r="D105" s="163">
        <f t="shared" ref="D105:D107" si="9">1-$D$122</f>
        <v>0.99460000000000004</v>
      </c>
      <c r="E105" s="163">
        <f>$D$122</f>
        <v>5.4000000000000003E-3</v>
      </c>
      <c r="F105" s="163">
        <f t="shared" si="7"/>
        <v>0.99460000000000004</v>
      </c>
      <c r="G105" s="163">
        <f t="shared" si="7"/>
        <v>0.99460000000000004</v>
      </c>
      <c r="H105" s="331">
        <f t="shared" si="8"/>
        <v>5.3129915416944016E-3</v>
      </c>
      <c r="J105" t="s">
        <v>639</v>
      </c>
    </row>
    <row r="106" spans="4:11" x14ac:dyDescent="0.15">
      <c r="D106" s="163">
        <f t="shared" si="9"/>
        <v>0.99460000000000004</v>
      </c>
      <c r="E106" s="163">
        <f t="shared" ref="E106:E107" si="10">1-$D$122</f>
        <v>0.99460000000000004</v>
      </c>
      <c r="F106" s="163">
        <f>$D$122</f>
        <v>5.4000000000000003E-3</v>
      </c>
      <c r="G106" s="163">
        <f t="shared" si="7"/>
        <v>0.99460000000000004</v>
      </c>
      <c r="H106" s="331">
        <f t="shared" si="8"/>
        <v>5.3129915416944007E-3</v>
      </c>
      <c r="J106" t="s">
        <v>640</v>
      </c>
    </row>
    <row r="107" spans="4:11" x14ac:dyDescent="0.15">
      <c r="D107" s="163">
        <f t="shared" si="9"/>
        <v>0.99460000000000004</v>
      </c>
      <c r="E107" s="163">
        <f t="shared" si="10"/>
        <v>0.99460000000000004</v>
      </c>
      <c r="F107" s="163">
        <f t="shared" ref="F107:F108" si="11">1-$D$122</f>
        <v>0.99460000000000004</v>
      </c>
      <c r="G107" s="163">
        <f>$D$122</f>
        <v>5.4000000000000003E-3</v>
      </c>
      <c r="H107" s="331">
        <f t="shared" si="8"/>
        <v>5.3129915416944007E-3</v>
      </c>
      <c r="J107" t="s">
        <v>641</v>
      </c>
    </row>
    <row r="108" spans="4:11" x14ac:dyDescent="0.15">
      <c r="D108" s="163">
        <f>$D$122</f>
        <v>5.4000000000000003E-3</v>
      </c>
      <c r="E108" s="163">
        <f>$D$122</f>
        <v>5.4000000000000003E-3</v>
      </c>
      <c r="F108" s="163">
        <f t="shared" si="11"/>
        <v>0.99460000000000004</v>
      </c>
      <c r="G108" s="163">
        <f t="shared" ref="G108:G109" si="12">1-$D$122</f>
        <v>0.99460000000000004</v>
      </c>
      <c r="H108" s="331">
        <f t="shared" si="8"/>
        <v>2.8845922305600005E-5</v>
      </c>
      <c r="J108" t="s">
        <v>637</v>
      </c>
      <c r="K108" t="s">
        <v>650</v>
      </c>
    </row>
    <row r="109" spans="4:11" x14ac:dyDescent="0.15">
      <c r="D109" s="163">
        <f>$D$122</f>
        <v>5.4000000000000003E-3</v>
      </c>
      <c r="E109" s="163">
        <f>1-$D$122</f>
        <v>0.99460000000000004</v>
      </c>
      <c r="F109" s="163">
        <f>$D$122</f>
        <v>5.4000000000000003E-3</v>
      </c>
      <c r="G109" s="163">
        <f t="shared" si="12"/>
        <v>0.99460000000000004</v>
      </c>
      <c r="H109" s="331">
        <f t="shared" si="8"/>
        <v>2.8845922305600009E-5</v>
      </c>
      <c r="J109" t="s">
        <v>635</v>
      </c>
    </row>
    <row r="110" spans="4:11" x14ac:dyDescent="0.15">
      <c r="D110" s="163">
        <f>$D$122</f>
        <v>5.4000000000000003E-3</v>
      </c>
      <c r="E110" s="163">
        <f>1-$D$122</f>
        <v>0.99460000000000004</v>
      </c>
      <c r="F110" s="163">
        <f>1-$D$122</f>
        <v>0.99460000000000004</v>
      </c>
      <c r="G110" s="163">
        <f>$D$122</f>
        <v>5.4000000000000003E-3</v>
      </c>
      <c r="H110" s="331">
        <f t="shared" si="8"/>
        <v>2.8845922305600009E-5</v>
      </c>
      <c r="J110" t="s">
        <v>636</v>
      </c>
    </row>
    <row r="111" spans="4:11" x14ac:dyDescent="0.15">
      <c r="D111" s="163">
        <f t="shared" ref="D111:D113" si="13">1-$D$122</f>
        <v>0.99460000000000004</v>
      </c>
      <c r="E111" s="163">
        <f>$D$122</f>
        <v>5.4000000000000003E-3</v>
      </c>
      <c r="F111" s="163">
        <f>$D$122</f>
        <v>5.4000000000000003E-3</v>
      </c>
      <c r="G111" s="163">
        <f>1-$D$122</f>
        <v>0.99460000000000004</v>
      </c>
      <c r="H111" s="331">
        <f t="shared" si="8"/>
        <v>2.8845922305600009E-5</v>
      </c>
      <c r="J111" t="s">
        <v>642</v>
      </c>
    </row>
    <row r="112" spans="4:11" x14ac:dyDescent="0.15">
      <c r="D112" s="163">
        <f t="shared" si="13"/>
        <v>0.99460000000000004</v>
      </c>
      <c r="E112" s="163">
        <f>$D$122</f>
        <v>5.4000000000000003E-3</v>
      </c>
      <c r="F112" s="163">
        <f>1-$D$122</f>
        <v>0.99460000000000004</v>
      </c>
      <c r="G112" s="163">
        <f>$D$122</f>
        <v>5.4000000000000003E-3</v>
      </c>
      <c r="H112" s="331">
        <f t="shared" si="8"/>
        <v>2.8845922305600009E-5</v>
      </c>
      <c r="J112" t="s">
        <v>643</v>
      </c>
    </row>
    <row r="113" spans="4:10" x14ac:dyDescent="0.15">
      <c r="D113" s="163">
        <f t="shared" si="13"/>
        <v>0.99460000000000004</v>
      </c>
      <c r="E113" s="163">
        <f>1-$D$122</f>
        <v>0.99460000000000004</v>
      </c>
      <c r="F113" s="163">
        <f>$D$122</f>
        <v>5.4000000000000003E-3</v>
      </c>
      <c r="G113" s="163">
        <f>$D$122</f>
        <v>5.4000000000000003E-3</v>
      </c>
      <c r="H113" s="331">
        <f t="shared" si="8"/>
        <v>2.8845922305600002E-5</v>
      </c>
      <c r="J113" t="s">
        <v>644</v>
      </c>
    </row>
    <row r="114" spans="4:10" x14ac:dyDescent="0.15">
      <c r="D114" s="163">
        <f>$D$122</f>
        <v>5.4000000000000003E-3</v>
      </c>
      <c r="E114" s="163">
        <f>$D$122</f>
        <v>5.4000000000000003E-3</v>
      </c>
      <c r="F114" s="163">
        <f>$D$122</f>
        <v>5.4000000000000003E-3</v>
      </c>
      <c r="G114" s="163">
        <f>1-$D$122</f>
        <v>0.99460000000000004</v>
      </c>
      <c r="H114" s="331">
        <f t="shared" si="8"/>
        <v>1.5661369440000001E-7</v>
      </c>
      <c r="J114" t="s">
        <v>645</v>
      </c>
    </row>
    <row r="115" spans="4:10" x14ac:dyDescent="0.15">
      <c r="D115" s="163">
        <f>$D$122</f>
        <v>5.4000000000000003E-3</v>
      </c>
      <c r="E115" s="163">
        <f>$D$122</f>
        <v>5.4000000000000003E-3</v>
      </c>
      <c r="F115" s="163">
        <f>1-$D$122</f>
        <v>0.99460000000000004</v>
      </c>
      <c r="G115" s="163">
        <f>$D$122</f>
        <v>5.4000000000000003E-3</v>
      </c>
      <c r="H115" s="331">
        <f t="shared" si="8"/>
        <v>1.5661369440000004E-7</v>
      </c>
      <c r="J115" t="s">
        <v>646</v>
      </c>
    </row>
    <row r="116" spans="4:10" x14ac:dyDescent="0.15">
      <c r="D116" s="163">
        <f>$D$122</f>
        <v>5.4000000000000003E-3</v>
      </c>
      <c r="E116" s="163">
        <f>1-$D$122</f>
        <v>0.99460000000000004</v>
      </c>
      <c r="F116" s="163">
        <f>$D$122</f>
        <v>5.4000000000000003E-3</v>
      </c>
      <c r="G116" s="163">
        <f>$D$122</f>
        <v>5.4000000000000003E-3</v>
      </c>
      <c r="H116" s="331">
        <f t="shared" si="8"/>
        <v>1.5661369440000004E-7</v>
      </c>
      <c r="J116" t="s">
        <v>648</v>
      </c>
    </row>
    <row r="117" spans="4:10" x14ac:dyDescent="0.15">
      <c r="D117" s="163">
        <f>1-$D$122</f>
        <v>0.99460000000000004</v>
      </c>
      <c r="E117" s="163">
        <f>$D$122</f>
        <v>5.4000000000000003E-3</v>
      </c>
      <c r="F117" s="163">
        <f>$D$122</f>
        <v>5.4000000000000003E-3</v>
      </c>
      <c r="G117" s="163">
        <f>$D$122</f>
        <v>5.4000000000000003E-3</v>
      </c>
      <c r="H117" s="331">
        <f t="shared" si="8"/>
        <v>1.5661369440000004E-7</v>
      </c>
      <c r="J117" t="s">
        <v>647</v>
      </c>
    </row>
    <row r="118" spans="4:10" x14ac:dyDescent="0.15">
      <c r="D118" s="163">
        <f>$D$122</f>
        <v>5.4000000000000003E-3</v>
      </c>
      <c r="E118" s="163">
        <f>$D$122</f>
        <v>5.4000000000000003E-3</v>
      </c>
      <c r="F118" s="163">
        <f>$D$122</f>
        <v>5.4000000000000003E-3</v>
      </c>
      <c r="G118" s="163">
        <f>$D$122</f>
        <v>5.4000000000000003E-3</v>
      </c>
      <c r="H118" s="331">
        <f t="shared" si="8"/>
        <v>8.5030560000000008E-10</v>
      </c>
      <c r="J118" t="s">
        <v>649</v>
      </c>
    </row>
    <row r="119" spans="4:10" x14ac:dyDescent="0.15">
      <c r="H119" s="331">
        <f>SUM(H103:H118)</f>
        <v>0.99999999999999967</v>
      </c>
      <c r="I119" s="163">
        <f>1-H103</f>
        <v>2.1425669005694314E-2</v>
      </c>
      <c r="J119" t="s">
        <v>633</v>
      </c>
    </row>
    <row r="122" spans="4:10" x14ac:dyDescent="0.15">
      <c r="D122" s="163">
        <v>5.4000000000000003E-3</v>
      </c>
      <c r="E122" s="163" t="s">
        <v>632</v>
      </c>
    </row>
    <row r="1048537" spans="2:2" x14ac:dyDescent="0.15">
      <c r="B1048537">
        <v>20</v>
      </c>
    </row>
  </sheetData>
  <pageMargins left="0.7" right="0.7" top="0.75" bottom="0.75"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B42"/>
  <sheetViews>
    <sheetView showRuler="0" workbookViewId="0">
      <selection activeCell="B44" sqref="B44"/>
    </sheetView>
  </sheetViews>
  <sheetFormatPr baseColWidth="10" defaultRowHeight="13" x14ac:dyDescent="0.15"/>
  <sheetData>
    <row r="2" spans="2:2" x14ac:dyDescent="0.15">
      <c r="B2" t="s">
        <v>659</v>
      </c>
    </row>
    <row r="3" spans="2:2" x14ac:dyDescent="0.15">
      <c r="B3" t="s">
        <v>658</v>
      </c>
    </row>
    <row r="5" spans="2:2" x14ac:dyDescent="0.15">
      <c r="B5" t="s">
        <v>679</v>
      </c>
    </row>
    <row r="7" spans="2:2" x14ac:dyDescent="0.15">
      <c r="B7" t="s">
        <v>680</v>
      </c>
    </row>
    <row r="9" spans="2:2" x14ac:dyDescent="0.15">
      <c r="B9" t="s">
        <v>706</v>
      </c>
    </row>
    <row r="11" spans="2:2" x14ac:dyDescent="0.15">
      <c r="B11" t="s">
        <v>681</v>
      </c>
    </row>
    <row r="13" spans="2:2" x14ac:dyDescent="0.15">
      <c r="B13" t="s">
        <v>682</v>
      </c>
    </row>
    <row r="15" spans="2:2" x14ac:dyDescent="0.15">
      <c r="B15" t="s">
        <v>707</v>
      </c>
    </row>
    <row r="17" spans="2:2" x14ac:dyDescent="0.15">
      <c r="B17" t="s">
        <v>708</v>
      </c>
    </row>
    <row r="19" spans="2:2" x14ac:dyDescent="0.15">
      <c r="B19" t="s">
        <v>512</v>
      </c>
    </row>
    <row r="21" spans="2:2" x14ac:dyDescent="0.15">
      <c r="B21" t="s">
        <v>683</v>
      </c>
    </row>
    <row r="23" spans="2:2" x14ac:dyDescent="0.15">
      <c r="B23" t="s">
        <v>513</v>
      </c>
    </row>
    <row r="24" spans="2:2" x14ac:dyDescent="0.15">
      <c r="B24" t="s">
        <v>660</v>
      </c>
    </row>
    <row r="26" spans="2:2" x14ac:dyDescent="0.15">
      <c r="B26" t="s">
        <v>661</v>
      </c>
    </row>
    <row r="28" spans="2:2" x14ac:dyDescent="0.15">
      <c r="B28" t="s">
        <v>684</v>
      </c>
    </row>
    <row r="30" spans="2:2" x14ac:dyDescent="0.15">
      <c r="B30" t="s">
        <v>685</v>
      </c>
    </row>
    <row r="32" spans="2:2" x14ac:dyDescent="0.15">
      <c r="B32" t="s">
        <v>514</v>
      </c>
    </row>
    <row r="34" spans="2:2" x14ac:dyDescent="0.15">
      <c r="B34" t="s">
        <v>510</v>
      </c>
    </row>
    <row r="35" spans="2:2" x14ac:dyDescent="0.15">
      <c r="B35" s="26" t="s">
        <v>511</v>
      </c>
    </row>
    <row r="36" spans="2:2" x14ac:dyDescent="0.15">
      <c r="B36" t="s">
        <v>515</v>
      </c>
    </row>
    <row r="40" spans="2:2" x14ac:dyDescent="0.15">
      <c r="B40" t="s">
        <v>712</v>
      </c>
    </row>
    <row r="42" spans="2:2" x14ac:dyDescent="0.15">
      <c r="B42" t="s">
        <v>713</v>
      </c>
    </row>
  </sheetData>
  <pageMargins left="0.7" right="0.7" top="0.75" bottom="0.75" header="0.5" footer="0.5"/>
  <pageSetup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Flats</vt:lpstr>
      <vt:lpstr>Discs</vt:lpstr>
      <vt:lpstr>Ships (by rarity)</vt:lpstr>
      <vt:lpstr>Ships (by faction)</vt:lpstr>
      <vt:lpstr>Personal Tech</vt:lpstr>
      <vt:lpstr>Scenarios</vt:lpstr>
      <vt:lpstr>My Collection</vt:lpstr>
      <vt:lpstr>Distributions</vt:lpstr>
      <vt:lpstr>Eratta</vt:lpstr>
      <vt:lpstr>Notes</vt:lpstr>
      <vt:lpstr>DISCNAME</vt:lpstr>
      <vt:lpstr>DISCNUM</vt:lpstr>
      <vt:lpstr>FLATNUM</vt:lpstr>
      <vt:lpstr>Flats!Print_Titles</vt:lpstr>
    </vt:vector>
  </TitlesOfParts>
  <Company>McEwen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 A McEwen</dc:creator>
  <cp:lastModifiedBy>Microsoft Office User</cp:lastModifiedBy>
  <cp:lastPrinted>2000-12-08T20:03:46Z</cp:lastPrinted>
  <dcterms:created xsi:type="dcterms:W3CDTF">2000-11-26T02:44:33Z</dcterms:created>
  <dcterms:modified xsi:type="dcterms:W3CDTF">2021-07-30T20:02:40Z</dcterms:modified>
</cp:coreProperties>
</file>